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60" yWindow="870" windowWidth="13710" windowHeight="11655" tabRatio="698" firstSheet="1" activeTab="7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<sst xmlns="http://schemas.openxmlformats.org/spreadsheetml/2006/main" count="832" uniqueCount="66">
  <si>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</si>
  <si>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</si>
  <si>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</si>
  <si>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</si>
  <si>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</si>
  <si>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</si>
  <si>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</si>
  <si>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</si>
  <si>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</si>
  <si>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</si>
  <si>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</si>
  <si>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</si>
  <si>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</si>
  <si>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</si>
  <si>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</si>
  <si>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</si>
  <si>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</si>
  <si>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</si>
  <si>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</si>
  <si>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</si>
  <si>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</si>
  <si>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</si>
  <si>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</si>
  <si>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</si>
  <si>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</si>
  <si>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</si>
  <si>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</si>
  <si>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</si>
  <si>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</si>
  <si>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</si>
  <si>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</si>
  <si>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</si>
  <si>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</si>
  <si>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</si>
  <si>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</si>
  <si>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</si>
  <si>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</si>
  <si>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</si>
  <si>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</si>
  <si>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</si>
  <si>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</si>
  <si>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</si>
  <si>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</si>
  <si>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</si>
  <si>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</si>
  <si>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</si>
  <si>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</si>
  <si>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</si>
  <si>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</si>
  <si>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</si>
  <si>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</si>
  <si>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</si>
  <si>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</si>
  <si>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</si>
  <si>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</si>
  <si>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</si>
  <si>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</si>
  <si>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</si>
  <si>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</si>
  <si>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</si>
  <si>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</si>
  <si>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</si>
  <si>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</si>
  <si>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</si>
  <si>
    <t>по міському бюджету м.Черкаси у ЛИПНІ 2019 р.</t>
  </si>
  <si>
    <t>надійшло доходів/план видатків
 на липень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</si>
</sst>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196" fontId="0" fillId="33" borderId="0" xfId="0" applyNumberFormat="1" applyFont="1" applyFill="1" applyAlignment="1">
      <alignment/>
    </xf>
    <xf numFmtId="196" fontId="0" fillId="33" borderId="0" xfId="0" applyNumberFormat="1" applyFill="1" applyAlignment="1">
      <alignment horizontal="right" vertical="center"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8" customFormat="1" ht="15.75">
      <c r="A10" s="96" t="s">
        <v>4</v>
      </c>
      <c r="B10" s="97">
        <f>19083.7+56.6</f>
        <v>19140.3</v>
      </c>
      <c r="C10" s="97">
        <v>2464.5</v>
      </c>
      <c r="D10" s="72"/>
      <c r="E10" s="72">
        <v>203.9</v>
      </c>
      <c r="F10" s="72">
        <v>119.8</v>
      </c>
      <c r="G10" s="72">
        <v>249.5</v>
      </c>
      <c r="H10" s="72">
        <v>28.2</v>
      </c>
      <c r="I10" s="72"/>
      <c r="J10" s="70">
        <v>94.6</v>
      </c>
      <c r="K10" s="72">
        <f>1641.4</f>
        <v>1641.4</v>
      </c>
      <c r="L10" s="72">
        <f>3692.3-8.4</f>
        <v>3683.9</v>
      </c>
      <c r="M10" s="72">
        <v>1284.9</v>
      </c>
      <c r="N10" s="72">
        <v>43.8</v>
      </c>
      <c r="O10" s="72">
        <v>45.6</v>
      </c>
      <c r="P10" s="72">
        <v>7</v>
      </c>
      <c r="Q10" s="72">
        <v>132</v>
      </c>
      <c r="R10" s="72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17722.899999999998</v>
      </c>
      <c r="AG10" s="72">
        <f>B10+C10-AF10</f>
        <v>3881.9000000000015</v>
      </c>
      <c r="AI10" s="21"/>
    </row>
    <row r="11" spans="1:35" s="18" customFormat="1" ht="15.75">
      <c r="A11" s="98" t="s">
        <v>5</v>
      </c>
      <c r="B11" s="97">
        <v>17709.2</v>
      </c>
      <c r="C11" s="97">
        <v>1338.2000000000044</v>
      </c>
      <c r="D11" s="72"/>
      <c r="E11" s="72">
        <v>196.5</v>
      </c>
      <c r="F11" s="72">
        <v>40.7</v>
      </c>
      <c r="G11" s="72">
        <v>134.2</v>
      </c>
      <c r="H11" s="72">
        <v>1.1</v>
      </c>
      <c r="I11" s="72"/>
      <c r="J11" s="72"/>
      <c r="K11" s="72">
        <v>1320.4</v>
      </c>
      <c r="L11" s="72">
        <v>3625.8</v>
      </c>
      <c r="M11" s="72">
        <v>1272.4</v>
      </c>
      <c r="N11" s="72"/>
      <c r="O11" s="72"/>
      <c r="P11" s="72"/>
      <c r="Q11" s="72">
        <v>130.1</v>
      </c>
      <c r="R11" s="72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16397.3</v>
      </c>
      <c r="AG11" s="72">
        <f>B11+C11-AF11</f>
        <v>2650.100000000006</v>
      </c>
      <c r="AI11" s="21"/>
    </row>
    <row r="12" spans="1:35" s="18" customFormat="1" ht="15.75">
      <c r="A12" s="98" t="s">
        <v>2</v>
      </c>
      <c r="B12" s="99">
        <v>357.7</v>
      </c>
      <c r="C12" s="97">
        <v>299.8</v>
      </c>
      <c r="D12" s="72"/>
      <c r="E12" s="72"/>
      <c r="F12" s="72"/>
      <c r="G12" s="72">
        <v>77</v>
      </c>
      <c r="H12" s="72">
        <v>0.5</v>
      </c>
      <c r="I12" s="72"/>
      <c r="J12" s="72">
        <v>3</v>
      </c>
      <c r="K12" s="72">
        <v>170</v>
      </c>
      <c r="L12" s="72">
        <v>5.8</v>
      </c>
      <c r="M12" s="72"/>
      <c r="N12" s="72"/>
      <c r="O12" s="72">
        <v>23.6</v>
      </c>
      <c r="P12" s="72"/>
      <c r="Q12" s="72"/>
      <c r="R12" s="72"/>
      <c r="S12" s="72"/>
      <c r="T12" s="72">
        <v>4.9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284.8</v>
      </c>
      <c r="AG12" s="72">
        <f>B12+C12-AF12</f>
        <v>372.7</v>
      </c>
      <c r="AI12" s="21"/>
    </row>
    <row r="13" spans="1:35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  <c r="AI13" s="21"/>
    </row>
    <row r="14" spans="1:35" s="18" customFormat="1" ht="15.75">
      <c r="A14" s="98" t="s">
        <v>23</v>
      </c>
      <c r="B14" s="97">
        <f aca="true" t="shared" si="2" ref="B14:Y14">B10-B11-B12-B13</f>
        <v>1073.3999999999985</v>
      </c>
      <c r="C14" s="97">
        <v>826.4999999999957</v>
      </c>
      <c r="D14" s="72">
        <f t="shared" si="2"/>
        <v>0</v>
      </c>
      <c r="E14" s="72">
        <f t="shared" si="2"/>
        <v>7.400000000000006</v>
      </c>
      <c r="F14" s="72">
        <f t="shared" si="2"/>
        <v>79.1</v>
      </c>
      <c r="G14" s="72">
        <f t="shared" si="2"/>
        <v>38.30000000000001</v>
      </c>
      <c r="H14" s="72">
        <f t="shared" si="2"/>
        <v>26.599999999999998</v>
      </c>
      <c r="I14" s="72">
        <f t="shared" si="2"/>
        <v>0</v>
      </c>
      <c r="J14" s="72">
        <f t="shared" si="2"/>
        <v>91.6</v>
      </c>
      <c r="K14" s="72">
        <f t="shared" si="2"/>
        <v>151</v>
      </c>
      <c r="L14" s="72">
        <f t="shared" si="2"/>
        <v>52.29999999999991</v>
      </c>
      <c r="M14" s="72">
        <f t="shared" si="2"/>
        <v>12.5</v>
      </c>
      <c r="N14" s="72">
        <f t="shared" si="2"/>
        <v>43.8</v>
      </c>
      <c r="O14" s="72">
        <f t="shared" si="2"/>
        <v>22</v>
      </c>
      <c r="P14" s="72">
        <f t="shared" si="2"/>
        <v>7</v>
      </c>
      <c r="Q14" s="72">
        <f t="shared" si="2"/>
        <v>1.9000000000000057</v>
      </c>
      <c r="R14" s="72">
        <f t="shared" si="2"/>
        <v>69</v>
      </c>
      <c r="S14" s="72">
        <f t="shared" si="2"/>
        <v>12</v>
      </c>
      <c r="T14" s="72">
        <f t="shared" si="2"/>
        <v>72.30000000000004</v>
      </c>
      <c r="U14" s="72">
        <f t="shared" si="2"/>
        <v>61.700000000000045</v>
      </c>
      <c r="V14" s="72">
        <f t="shared" si="2"/>
        <v>262.8000000000002</v>
      </c>
      <c r="W14" s="72">
        <f t="shared" si="2"/>
        <v>29.5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1040.8000000000002</v>
      </c>
      <c r="AG14" s="72">
        <f>AG10-AG11-AG12-AG13</f>
        <v>859.0999999999956</v>
      </c>
      <c r="AI14" s="21"/>
    </row>
    <row r="15" spans="1:35" s="18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0"/>
      <c r="E15" s="100"/>
      <c r="F15" s="72">
        <f>20+40.7</f>
        <v>60.7</v>
      </c>
      <c r="G15" s="72">
        <v>1437.6</v>
      </c>
      <c r="H15" s="72">
        <v>1886</v>
      </c>
      <c r="I15" s="72"/>
      <c r="J15" s="72">
        <v>1381.2</v>
      </c>
      <c r="K15" s="72">
        <f>13902.2+10550.7</f>
        <v>24452.9</v>
      </c>
      <c r="L15" s="72">
        <v>2976.1</v>
      </c>
      <c r="M15" s="72">
        <v>3278.2</v>
      </c>
      <c r="N15" s="72">
        <v>2126</v>
      </c>
      <c r="O15" s="72">
        <v>3292.8</v>
      </c>
      <c r="P15" s="72">
        <v>2453.5</v>
      </c>
      <c r="Q15" s="72">
        <v>875.9</v>
      </c>
      <c r="R15" s="72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84307.5</v>
      </c>
      <c r="AG15" s="72">
        <f aca="true" t="shared" si="3" ref="AG15:AG31">B15+C15-AF15</f>
        <v>29287.300000000003</v>
      </c>
      <c r="AI15" s="21"/>
    </row>
    <row r="16" spans="1:35" s="104" customFormat="1" ht="15" customHeight="1">
      <c r="A16" s="101" t="s">
        <v>38</v>
      </c>
      <c r="B16" s="102">
        <f>23019.6+3.2</f>
        <v>23022.8</v>
      </c>
      <c r="C16" s="102">
        <v>125.4</v>
      </c>
      <c r="D16" s="88"/>
      <c r="E16" s="88"/>
      <c r="F16" s="76">
        <v>40.7</v>
      </c>
      <c r="G16" s="76"/>
      <c r="H16" s="76"/>
      <c r="I16" s="76"/>
      <c r="J16" s="76"/>
      <c r="K16" s="76">
        <v>10550.7</v>
      </c>
      <c r="L16" s="76"/>
      <c r="M16" s="76"/>
      <c r="N16" s="76"/>
      <c r="O16" s="76"/>
      <c r="P16" s="76"/>
      <c r="Q16" s="76"/>
      <c r="R16" s="76"/>
      <c r="S16" s="76"/>
      <c r="T16" s="76"/>
      <c r="U16" s="76">
        <v>12514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23105.4</v>
      </c>
      <c r="AG16" s="88">
        <f t="shared" si="3"/>
        <v>42.79999999999927</v>
      </c>
      <c r="AH16" s="103"/>
      <c r="AI16" s="21"/>
    </row>
    <row r="17" spans="1:35" s="18" customFormat="1" ht="15.75">
      <c r="A17" s="98" t="s">
        <v>5</v>
      </c>
      <c r="B17" s="97">
        <f>58279.96+3.2</f>
        <v>58283.159999999996</v>
      </c>
      <c r="C17" s="97">
        <v>2363.399999999994</v>
      </c>
      <c r="D17" s="72"/>
      <c r="E17" s="72"/>
      <c r="F17" s="72">
        <v>60.7</v>
      </c>
      <c r="G17" s="72"/>
      <c r="H17" s="72"/>
      <c r="I17" s="72"/>
      <c r="J17" s="72"/>
      <c r="K17" s="72">
        <f>13022.4+10550.7</f>
        <v>23573.1</v>
      </c>
      <c r="L17" s="72"/>
      <c r="M17" s="72"/>
      <c r="N17" s="72"/>
      <c r="O17" s="72"/>
      <c r="P17" s="72"/>
      <c r="Q17" s="72"/>
      <c r="R17" s="72"/>
      <c r="S17" s="72"/>
      <c r="T17" s="72"/>
      <c r="U17" s="72">
        <f>21765.1+12514</f>
        <v>34279.1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57912.899999999994</v>
      </c>
      <c r="AG17" s="72">
        <f t="shared" si="3"/>
        <v>2733.659999999996</v>
      </c>
      <c r="AH17" s="21"/>
      <c r="AI17" s="21"/>
    </row>
    <row r="18" spans="1:35" s="18" customFormat="1" ht="15.75">
      <c r="A18" s="98" t="s">
        <v>3</v>
      </c>
      <c r="B18" s="97">
        <v>35.4</v>
      </c>
      <c r="C18" s="97">
        <v>0</v>
      </c>
      <c r="D18" s="72"/>
      <c r="E18" s="72"/>
      <c r="F18" s="72"/>
      <c r="G18" s="72"/>
      <c r="H18" s="72">
        <v>0.9</v>
      </c>
      <c r="I18" s="72"/>
      <c r="J18" s="72">
        <v>0.3</v>
      </c>
      <c r="K18" s="72"/>
      <c r="L18" s="72"/>
      <c r="M18" s="72"/>
      <c r="N18" s="72"/>
      <c r="O18" s="72"/>
      <c r="P18" s="72"/>
      <c r="Q18" s="72"/>
      <c r="R18" s="72"/>
      <c r="S18" s="72"/>
      <c r="T18" s="72">
        <v>8.7</v>
      </c>
      <c r="U18" s="72">
        <v>9.7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19.599999999999998</v>
      </c>
      <c r="AG18" s="72">
        <f t="shared" si="3"/>
        <v>15.8</v>
      </c>
      <c r="AI18" s="21"/>
    </row>
    <row r="19" spans="1:35" s="18" customFormat="1" ht="15.75">
      <c r="A19" s="98" t="s">
        <v>1</v>
      </c>
      <c r="B19" s="97">
        <v>4280.4</v>
      </c>
      <c r="C19" s="97">
        <v>3541.3999999999996</v>
      </c>
      <c r="D19" s="72"/>
      <c r="E19" s="72"/>
      <c r="F19" s="72"/>
      <c r="G19" s="72">
        <v>240.3</v>
      </c>
      <c r="H19" s="72">
        <v>427.1</v>
      </c>
      <c r="I19" s="72"/>
      <c r="J19" s="72">
        <v>446.9</v>
      </c>
      <c r="K19" s="72">
        <v>102.1</v>
      </c>
      <c r="L19" s="72">
        <v>46</v>
      </c>
      <c r="M19" s="72">
        <v>154.6</v>
      </c>
      <c r="N19" s="72">
        <v>766.9</v>
      </c>
      <c r="O19" s="72"/>
      <c r="P19" s="72">
        <v>945</v>
      </c>
      <c r="Q19" s="72">
        <v>400</v>
      </c>
      <c r="R19" s="72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5411.9</v>
      </c>
      <c r="AG19" s="72">
        <f t="shared" si="3"/>
        <v>2409.8999999999996</v>
      </c>
      <c r="AI19" s="21"/>
    </row>
    <row r="20" spans="1:35" s="18" customFormat="1" ht="15.75">
      <c r="A20" s="98" t="s">
        <v>2</v>
      </c>
      <c r="B20" s="97">
        <v>16303.4</v>
      </c>
      <c r="C20" s="97">
        <v>20438.6</v>
      </c>
      <c r="D20" s="72"/>
      <c r="E20" s="72"/>
      <c r="F20" s="72"/>
      <c r="G20" s="72">
        <v>688.8</v>
      </c>
      <c r="H20" s="72">
        <v>1267.7</v>
      </c>
      <c r="I20" s="72"/>
      <c r="J20" s="72">
        <v>920.8</v>
      </c>
      <c r="K20" s="72">
        <v>531.8</v>
      </c>
      <c r="L20" s="72">
        <v>2870.4</v>
      </c>
      <c r="M20" s="72">
        <v>2522</v>
      </c>
      <c r="N20" s="72">
        <f>1076.6+267.2</f>
        <v>1343.8</v>
      </c>
      <c r="O20" s="72">
        <v>3290.1</v>
      </c>
      <c r="P20" s="72">
        <v>1467.5</v>
      </c>
      <c r="Q20" s="72">
        <v>255.7</v>
      </c>
      <c r="R20" s="72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17399.7</v>
      </c>
      <c r="AG20" s="72">
        <f t="shared" si="3"/>
        <v>19342.3</v>
      </c>
      <c r="AI20" s="21"/>
    </row>
    <row r="21" spans="1:35" s="18" customFormat="1" ht="15.75">
      <c r="A21" s="98" t="s">
        <v>16</v>
      </c>
      <c r="B21" s="97">
        <v>1194.5</v>
      </c>
      <c r="C21" s="97">
        <v>157.20000000000005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376.7</v>
      </c>
      <c r="N21" s="72"/>
      <c r="O21" s="72"/>
      <c r="P21" s="72"/>
      <c r="Q21" s="72"/>
      <c r="R21" s="72"/>
      <c r="S21" s="72">
        <v>419.7</v>
      </c>
      <c r="T21" s="72"/>
      <c r="U21" s="72">
        <v>11.5</v>
      </c>
      <c r="V21" s="72">
        <v>196.3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1004.2</v>
      </c>
      <c r="AG21" s="72">
        <f t="shared" si="3"/>
        <v>347.5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3674.740000000007</v>
      </c>
      <c r="C23" s="97">
        <v>3537.000000000011</v>
      </c>
      <c r="D23" s="72">
        <f aca="true" t="shared" si="4" ref="D23:AD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508.5</v>
      </c>
      <c r="H23" s="72">
        <f t="shared" si="4"/>
        <v>190.29999999999995</v>
      </c>
      <c r="I23" s="72">
        <f t="shared" si="4"/>
        <v>0</v>
      </c>
      <c r="J23" s="72">
        <f t="shared" si="4"/>
        <v>13.20000000000016</v>
      </c>
      <c r="K23" s="72">
        <f t="shared" si="4"/>
        <v>245.90000000000293</v>
      </c>
      <c r="L23" s="72">
        <f t="shared" si="4"/>
        <v>59.69999999999982</v>
      </c>
      <c r="M23" s="72">
        <f t="shared" si="4"/>
        <v>224.89999999999992</v>
      </c>
      <c r="N23" s="72">
        <f t="shared" si="4"/>
        <v>15.299999999999955</v>
      </c>
      <c r="O23" s="72">
        <f t="shared" si="4"/>
        <v>2.700000000000273</v>
      </c>
      <c r="P23" s="72">
        <f t="shared" si="4"/>
        <v>41</v>
      </c>
      <c r="Q23" s="72">
        <f t="shared" si="4"/>
        <v>220.2</v>
      </c>
      <c r="R23" s="72">
        <f t="shared" si="4"/>
        <v>109.39999999999998</v>
      </c>
      <c r="S23" s="72">
        <f t="shared" si="4"/>
        <v>431.99999999999983</v>
      </c>
      <c r="T23" s="72">
        <f t="shared" si="4"/>
        <v>14.199999999999932</v>
      </c>
      <c r="U23" s="72">
        <f t="shared" si="4"/>
        <v>462.09999999999854</v>
      </c>
      <c r="V23" s="72">
        <f t="shared" si="4"/>
        <v>20.099999999999994</v>
      </c>
      <c r="W23" s="72">
        <f t="shared" si="4"/>
        <v>-0.2999999999999998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2559.200000000001</v>
      </c>
      <c r="AG23" s="72">
        <f t="shared" si="3"/>
        <v>4652.540000000017</v>
      </c>
      <c r="AI23" s="21"/>
    </row>
    <row r="24" spans="1:35" s="18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72"/>
      <c r="E24" s="72"/>
      <c r="F24" s="72">
        <v>50.4</v>
      </c>
      <c r="G24" s="72"/>
      <c r="H24" s="72">
        <v>1560.6</v>
      </c>
      <c r="I24" s="72"/>
      <c r="J24" s="72">
        <v>365</v>
      </c>
      <c r="K24" s="72">
        <f>382.7+21.5</f>
        <v>404.2</v>
      </c>
      <c r="L24" s="72">
        <f>377.5+9702.8</f>
        <v>10080.3</v>
      </c>
      <c r="M24" s="72"/>
      <c r="N24" s="72">
        <f>6002.3+983.7</f>
        <v>6986</v>
      </c>
      <c r="O24" s="72"/>
      <c r="P24" s="72">
        <v>102.6</v>
      </c>
      <c r="Q24" s="72">
        <v>170.9</v>
      </c>
      <c r="R24" s="72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36856.2</v>
      </c>
      <c r="AG24" s="72">
        <f t="shared" si="3"/>
        <v>11664.400000000009</v>
      </c>
      <c r="AI24" s="21"/>
    </row>
    <row r="25" spans="1:35" s="104" customFormat="1" ht="15" customHeight="1">
      <c r="A25" s="101" t="s">
        <v>39</v>
      </c>
      <c r="B25" s="102">
        <v>17038.2</v>
      </c>
      <c r="C25" s="102">
        <v>90.79999999999927</v>
      </c>
      <c r="D25" s="76"/>
      <c r="E25" s="76"/>
      <c r="F25" s="76">
        <v>50.4</v>
      </c>
      <c r="G25" s="76"/>
      <c r="H25" s="76">
        <v>1023.5</v>
      </c>
      <c r="I25" s="76"/>
      <c r="J25" s="76"/>
      <c r="K25" s="76">
        <v>21.4</v>
      </c>
      <c r="L25" s="76">
        <v>9702.8</v>
      </c>
      <c r="M25" s="76"/>
      <c r="N25" s="76">
        <v>983.7</v>
      </c>
      <c r="O25" s="76"/>
      <c r="P25" s="76"/>
      <c r="Q25" s="76"/>
      <c r="R25" s="76"/>
      <c r="S25" s="76">
        <v>1447.3</v>
      </c>
      <c r="T25" s="76">
        <v>3314.6</v>
      </c>
      <c r="U25" s="76">
        <v>585.3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17128.999999999996</v>
      </c>
      <c r="AG25" s="88">
        <f t="shared" si="3"/>
        <v>0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90.8</v>
      </c>
      <c r="C30" s="97">
        <v>90.9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181.7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40580.9</v>
      </c>
      <c r="C32" s="97">
        <v>7758.000000000002</v>
      </c>
      <c r="D32" s="72">
        <f aca="true" t="shared" si="5" ref="D32:AD32">D24-D26-D27-D28-D29-D30-D31</f>
        <v>0</v>
      </c>
      <c r="E32" s="72">
        <f t="shared" si="5"/>
        <v>0</v>
      </c>
      <c r="F32" s="72">
        <f t="shared" si="5"/>
        <v>50.4</v>
      </c>
      <c r="G32" s="72">
        <f t="shared" si="5"/>
        <v>0</v>
      </c>
      <c r="H32" s="72">
        <f t="shared" si="5"/>
        <v>1560.6</v>
      </c>
      <c r="I32" s="72">
        <f t="shared" si="5"/>
        <v>0</v>
      </c>
      <c r="J32" s="72">
        <f t="shared" si="5"/>
        <v>365</v>
      </c>
      <c r="K32" s="72">
        <f t="shared" si="5"/>
        <v>404.2</v>
      </c>
      <c r="L32" s="72">
        <f t="shared" si="5"/>
        <v>10080.3</v>
      </c>
      <c r="M32" s="72">
        <f t="shared" si="5"/>
        <v>0</v>
      </c>
      <c r="N32" s="72">
        <f t="shared" si="5"/>
        <v>6986</v>
      </c>
      <c r="O32" s="72">
        <f t="shared" si="5"/>
        <v>0</v>
      </c>
      <c r="P32" s="72">
        <f t="shared" si="5"/>
        <v>102.6</v>
      </c>
      <c r="Q32" s="72">
        <f t="shared" si="5"/>
        <v>170.9</v>
      </c>
      <c r="R32" s="72">
        <f t="shared" si="5"/>
        <v>0</v>
      </c>
      <c r="S32" s="72">
        <f t="shared" si="5"/>
        <v>1929.3</v>
      </c>
      <c r="T32" s="72">
        <f t="shared" si="5"/>
        <v>9242.8</v>
      </c>
      <c r="U32" s="72">
        <f t="shared" si="5"/>
        <v>5880.1</v>
      </c>
      <c r="V32" s="72">
        <f t="shared" si="5"/>
        <v>84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36856.2</v>
      </c>
      <c r="AG32" s="72">
        <f>AG24-AG30</f>
        <v>11482.700000000008</v>
      </c>
      <c r="AI32" s="21"/>
    </row>
    <row r="33" spans="1:35" s="18" customFormat="1" ht="15" customHeight="1">
      <c r="A33" s="96" t="s">
        <v>8</v>
      </c>
      <c r="B33" s="97">
        <v>392.8</v>
      </c>
      <c r="C33" s="97">
        <v>192.80000000000007</v>
      </c>
      <c r="D33" s="72"/>
      <c r="E33" s="72"/>
      <c r="F33" s="72"/>
      <c r="G33" s="72"/>
      <c r="H33" s="72"/>
      <c r="I33" s="72"/>
      <c r="J33" s="72"/>
      <c r="K33" s="72">
        <v>100.7</v>
      </c>
      <c r="L33" s="72"/>
      <c r="M33" s="72"/>
      <c r="N33" s="72">
        <v>125</v>
      </c>
      <c r="O33" s="72"/>
      <c r="P33" s="72"/>
      <c r="Q33" s="72"/>
      <c r="R33" s="72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432.4</v>
      </c>
      <c r="AG33" s="72">
        <f aca="true" t="shared" si="6" ref="AG33:AG38">B33+C33-AF33</f>
        <v>153.20000000000016</v>
      </c>
      <c r="AI33" s="21"/>
    </row>
    <row r="34" spans="1:35" s="18" customFormat="1" ht="15.75">
      <c r="A34" s="98" t="s">
        <v>5</v>
      </c>
      <c r="B34" s="97">
        <v>299.5</v>
      </c>
      <c r="C34" s="97">
        <v>23.899999999999977</v>
      </c>
      <c r="D34" s="72"/>
      <c r="E34" s="72"/>
      <c r="F34" s="72"/>
      <c r="G34" s="72"/>
      <c r="H34" s="72"/>
      <c r="I34" s="72"/>
      <c r="J34" s="72"/>
      <c r="K34" s="72">
        <v>95.6</v>
      </c>
      <c r="L34" s="72"/>
      <c r="M34" s="72"/>
      <c r="N34" s="72"/>
      <c r="O34" s="72"/>
      <c r="P34" s="72"/>
      <c r="Q34" s="72"/>
      <c r="R34" s="72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298.7</v>
      </c>
      <c r="AG34" s="72">
        <f t="shared" si="6"/>
        <v>24.69999999999999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79.9</v>
      </c>
      <c r="C36" s="97">
        <v>117.1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>
        <v>118.8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118.8</v>
      </c>
      <c r="AG36" s="72">
        <f t="shared" si="6"/>
        <v>78.2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13.400000000000006</v>
      </c>
      <c r="C39" s="97">
        <v>51.8000000000001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5.1000000000000085</v>
      </c>
      <c r="L39" s="72">
        <f t="shared" si="7"/>
        <v>0</v>
      </c>
      <c r="M39" s="72">
        <f t="shared" si="7"/>
        <v>0</v>
      </c>
      <c r="N39" s="72">
        <f t="shared" si="7"/>
        <v>6.200000000000003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0.6</v>
      </c>
      <c r="T39" s="72">
        <f t="shared" si="7"/>
        <v>0.8</v>
      </c>
      <c r="U39" s="72">
        <f t="shared" si="7"/>
        <v>2.200000000000017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14.900000000000029</v>
      </c>
      <c r="AG39" s="72">
        <f>AG33-AG34-AG36-AG38-AG35-AG37</f>
        <v>50.30000000000017</v>
      </c>
      <c r="AI39" s="21"/>
    </row>
    <row r="40" spans="1:35" s="18" customFormat="1" ht="15" customHeight="1">
      <c r="A40" s="96" t="s">
        <v>29</v>
      </c>
      <c r="B40" s="97">
        <v>1540.7</v>
      </c>
      <c r="C40" s="97">
        <v>121.79999999999995</v>
      </c>
      <c r="D40" s="72"/>
      <c r="E40" s="72"/>
      <c r="F40" s="72"/>
      <c r="G40" s="72">
        <v>71.3</v>
      </c>
      <c r="H40" s="72"/>
      <c r="I40" s="72"/>
      <c r="J40" s="72">
        <v>15.4</v>
      </c>
      <c r="K40" s="72"/>
      <c r="L40" s="72">
        <v>390.3</v>
      </c>
      <c r="M40" s="72">
        <v>13.8</v>
      </c>
      <c r="N40" s="72"/>
      <c r="O40" s="72">
        <v>56.1</v>
      </c>
      <c r="P40" s="72"/>
      <c r="Q40" s="72"/>
      <c r="R40" s="72"/>
      <c r="S40" s="72"/>
      <c r="T40" s="72"/>
      <c r="U40" s="72">
        <v>905.8</v>
      </c>
      <c r="V40" s="72">
        <v>4.8</v>
      </c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1457.4999999999998</v>
      </c>
      <c r="AG40" s="72">
        <f aca="true" t="shared" si="8" ref="AG40:AG45">B40+C40-AF40</f>
        <v>205.00000000000023</v>
      </c>
      <c r="AI40" s="21"/>
    </row>
    <row r="41" spans="1:35" s="18" customFormat="1" ht="15.75">
      <c r="A41" s="98" t="s">
        <v>5</v>
      </c>
      <c r="B41" s="97">
        <v>1297.1</v>
      </c>
      <c r="C41" s="97">
        <v>77.69999999999982</v>
      </c>
      <c r="D41" s="72"/>
      <c r="E41" s="72"/>
      <c r="F41" s="72"/>
      <c r="G41" s="72"/>
      <c r="H41" s="72"/>
      <c r="I41" s="72"/>
      <c r="J41" s="72"/>
      <c r="K41" s="72"/>
      <c r="L41" s="72">
        <v>377.1</v>
      </c>
      <c r="M41" s="72"/>
      <c r="N41" s="72"/>
      <c r="O41" s="72"/>
      <c r="P41" s="72"/>
      <c r="Q41" s="72"/>
      <c r="R41" s="72"/>
      <c r="S41" s="72"/>
      <c r="T41" s="72"/>
      <c r="U41" s="72">
        <v>896.5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1273.6</v>
      </c>
      <c r="AG41" s="72">
        <f t="shared" si="8"/>
        <v>101.19999999999982</v>
      </c>
      <c r="AH41" s="21"/>
      <c r="AI41" s="21"/>
    </row>
    <row r="42" spans="1:35" s="18" customFormat="1" ht="15.75">
      <c r="A42" s="98" t="s">
        <v>3</v>
      </c>
      <c r="B42" s="97">
        <v>0.9</v>
      </c>
      <c r="C42" s="97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2.5</v>
      </c>
      <c r="D43" s="72"/>
      <c r="E43" s="72"/>
      <c r="F43" s="72"/>
      <c r="G43" s="72"/>
      <c r="H43" s="72"/>
      <c r="I43" s="72"/>
      <c r="J43" s="72"/>
      <c r="K43" s="72"/>
      <c r="L43" s="72">
        <v>10.5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10.5</v>
      </c>
      <c r="AG43" s="72">
        <f t="shared" si="8"/>
        <v>2.3000000000000007</v>
      </c>
      <c r="AI43" s="21"/>
    </row>
    <row r="44" spans="1:35" s="18" customFormat="1" ht="15.75">
      <c r="A44" s="98" t="s">
        <v>2</v>
      </c>
      <c r="B44" s="97">
        <v>197.3</v>
      </c>
      <c r="C44" s="97">
        <v>37.00000000000003</v>
      </c>
      <c r="D44" s="72"/>
      <c r="E44" s="72"/>
      <c r="F44" s="72"/>
      <c r="G44" s="72">
        <v>65.8</v>
      </c>
      <c r="H44" s="72"/>
      <c r="I44" s="72"/>
      <c r="J44" s="72">
        <v>15.4</v>
      </c>
      <c r="K44" s="72"/>
      <c r="L44" s="72">
        <v>2.2</v>
      </c>
      <c r="M44" s="72"/>
      <c r="N44" s="72"/>
      <c r="O44" s="72">
        <v>56.1</v>
      </c>
      <c r="P44" s="72"/>
      <c r="Q44" s="72"/>
      <c r="R44" s="72"/>
      <c r="S44" s="72"/>
      <c r="T44" s="72"/>
      <c r="U44" s="72">
        <v>2.7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142.2</v>
      </c>
      <c r="AG44" s="72">
        <f t="shared" si="8"/>
        <v>92.10000000000005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35.10000000000011</v>
      </c>
      <c r="C46" s="97">
        <v>4.600000000000108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5.5</v>
      </c>
      <c r="H46" s="72">
        <f t="shared" si="9"/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0.49999999999998845</v>
      </c>
      <c r="M46" s="72">
        <f t="shared" si="9"/>
        <v>13.8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6.599999999999954</v>
      </c>
      <c r="V46" s="72">
        <f t="shared" si="9"/>
        <v>4.8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31.199999999999946</v>
      </c>
      <c r="AG46" s="72">
        <f>AG40-AG41-AG42-AG43-AG44-AG45</f>
        <v>8.500000000000355</v>
      </c>
      <c r="AI46" s="21"/>
    </row>
    <row r="47" spans="1:35" s="18" customFormat="1" ht="17.25" customHeight="1">
      <c r="A47" s="96" t="s">
        <v>43</v>
      </c>
      <c r="B47" s="99">
        <f>6488.7+7.6+1.8</f>
        <v>6498.1</v>
      </c>
      <c r="C47" s="97">
        <v>2565.699999999999</v>
      </c>
      <c r="D47" s="72"/>
      <c r="E47" s="80"/>
      <c r="F47" s="80"/>
      <c r="G47" s="80">
        <v>592.9</v>
      </c>
      <c r="H47" s="80">
        <v>250.5</v>
      </c>
      <c r="I47" s="80"/>
      <c r="J47" s="80">
        <v>1840.9</v>
      </c>
      <c r="K47" s="80">
        <v>85.5</v>
      </c>
      <c r="L47" s="80"/>
      <c r="M47" s="80"/>
      <c r="N47" s="80">
        <v>148.3</v>
      </c>
      <c r="O47" s="80">
        <v>534.2</v>
      </c>
      <c r="P47" s="80"/>
      <c r="Q47" s="80">
        <v>1861</v>
      </c>
      <c r="R47" s="80">
        <v>58.9</v>
      </c>
      <c r="S47" s="80"/>
      <c r="T47" s="80">
        <v>713.5</v>
      </c>
      <c r="U47" s="80">
        <v>44.9</v>
      </c>
      <c r="V47" s="80">
        <v>41.9</v>
      </c>
      <c r="W47" s="80">
        <v>28.7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6201.199999999999</v>
      </c>
      <c r="AG47" s="72">
        <f>B47+C47-AF47</f>
        <v>2862.6000000000004</v>
      </c>
      <c r="AI47" s="21"/>
    </row>
    <row r="48" spans="1:35" s="18" customFormat="1" ht="15.75">
      <c r="A48" s="98" t="s">
        <v>5</v>
      </c>
      <c r="B48" s="97">
        <v>54.4</v>
      </c>
      <c r="C48" s="97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54.4</v>
      </c>
      <c r="AI48" s="21"/>
    </row>
    <row r="49" spans="1:35" s="18" customFormat="1" ht="15.75">
      <c r="A49" s="98" t="s">
        <v>16</v>
      </c>
      <c r="B49" s="97">
        <f>5747.4+7.6+220.3</f>
        <v>5975.3</v>
      </c>
      <c r="C49" s="97">
        <v>1525.8999999999996</v>
      </c>
      <c r="D49" s="72"/>
      <c r="E49" s="72"/>
      <c r="F49" s="72"/>
      <c r="G49" s="72">
        <v>582.9</v>
      </c>
      <c r="H49" s="72">
        <v>250.5</v>
      </c>
      <c r="I49" s="72"/>
      <c r="J49" s="72">
        <v>1833.3</v>
      </c>
      <c r="K49" s="72">
        <v>55</v>
      </c>
      <c r="L49" s="72"/>
      <c r="M49" s="72"/>
      <c r="N49" s="72">
        <v>120.2</v>
      </c>
      <c r="O49" s="72">
        <v>529.4</v>
      </c>
      <c r="P49" s="72"/>
      <c r="Q49" s="72">
        <v>1861</v>
      </c>
      <c r="R49" s="72">
        <v>47.8</v>
      </c>
      <c r="S49" s="72"/>
      <c r="T49" s="72">
        <v>713.5</v>
      </c>
      <c r="U49" s="72"/>
      <c r="V49" s="72">
        <f>35.2+1.8</f>
        <v>37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6030.599999999999</v>
      </c>
      <c r="AG49" s="72">
        <f>B49+C49-AF49</f>
        <v>1470.6000000000004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468.40000000000055</v>
      </c>
      <c r="C51" s="97">
        <v>1039.7999999999993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10</v>
      </c>
      <c r="H51" s="72">
        <f t="shared" si="10"/>
        <v>0</v>
      </c>
      <c r="I51" s="72">
        <f t="shared" si="10"/>
        <v>0</v>
      </c>
      <c r="J51" s="72">
        <f t="shared" si="10"/>
        <v>7.600000000000136</v>
      </c>
      <c r="K51" s="72">
        <f t="shared" si="10"/>
        <v>30.5</v>
      </c>
      <c r="L51" s="72">
        <f t="shared" si="10"/>
        <v>0</v>
      </c>
      <c r="M51" s="72">
        <f t="shared" si="10"/>
        <v>0</v>
      </c>
      <c r="N51" s="72">
        <f t="shared" si="10"/>
        <v>28.10000000000001</v>
      </c>
      <c r="O51" s="72">
        <f t="shared" si="10"/>
        <v>4.800000000000068</v>
      </c>
      <c r="P51" s="72">
        <f t="shared" si="10"/>
        <v>0</v>
      </c>
      <c r="Q51" s="72">
        <f t="shared" si="10"/>
        <v>0</v>
      </c>
      <c r="R51" s="72">
        <f t="shared" si="10"/>
        <v>11.100000000000001</v>
      </c>
      <c r="S51" s="72">
        <f t="shared" si="10"/>
        <v>0</v>
      </c>
      <c r="T51" s="72">
        <f t="shared" si="10"/>
        <v>0</v>
      </c>
      <c r="U51" s="72">
        <f t="shared" si="10"/>
        <v>44.9</v>
      </c>
      <c r="V51" s="72">
        <f t="shared" si="10"/>
        <v>4.899999999999999</v>
      </c>
      <c r="W51" s="72">
        <f t="shared" si="10"/>
        <v>28.7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170.60000000000022</v>
      </c>
      <c r="AG51" s="72">
        <f>AG47-AG49-AG48</f>
        <v>1337.6</v>
      </c>
      <c r="AI51" s="21"/>
    </row>
    <row r="52" spans="1:35" s="18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72"/>
      <c r="E52" s="72"/>
      <c r="F52" s="72"/>
      <c r="G52" s="72">
        <v>121.6</v>
      </c>
      <c r="H52" s="72">
        <v>525.1</v>
      </c>
      <c r="I52" s="72"/>
      <c r="J52" s="72">
        <v>495.6</v>
      </c>
      <c r="K52" s="72">
        <v>452.5</v>
      </c>
      <c r="L52" s="72">
        <v>67.7</v>
      </c>
      <c r="M52" s="72">
        <v>766.7</v>
      </c>
      <c r="N52" s="72">
        <v>27.8</v>
      </c>
      <c r="O52" s="72">
        <v>2611.4</v>
      </c>
      <c r="P52" s="72"/>
      <c r="Q52" s="72">
        <v>110.1</v>
      </c>
      <c r="R52" s="72">
        <v>3.8</v>
      </c>
      <c r="S52" s="72">
        <v>3.3</v>
      </c>
      <c r="T52" s="72">
        <v>441.8</v>
      </c>
      <c r="U52" s="72">
        <v>656.5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6283.9000000000015</v>
      </c>
      <c r="AG52" s="72">
        <f aca="true" t="shared" si="11" ref="AG52:AG59">B52+C52-AF52</f>
        <v>11149.999999999996</v>
      </c>
      <c r="AI52" s="21"/>
    </row>
    <row r="53" spans="1:35" s="18" customFormat="1" ht="15" customHeight="1">
      <c r="A53" s="98" t="s">
        <v>2</v>
      </c>
      <c r="B53" s="97">
        <f>1894.6+200</f>
        <v>2094.6</v>
      </c>
      <c r="C53" s="97">
        <v>1418</v>
      </c>
      <c r="D53" s="72"/>
      <c r="E53" s="72"/>
      <c r="F53" s="72"/>
      <c r="G53" s="72">
        <v>1.6</v>
      </c>
      <c r="H53" s="72"/>
      <c r="I53" s="72"/>
      <c r="J53" s="72"/>
      <c r="K53" s="72"/>
      <c r="L53" s="72"/>
      <c r="M53" s="72"/>
      <c r="N53" s="72"/>
      <c r="O53" s="72">
        <v>2603.8</v>
      </c>
      <c r="P53" s="72"/>
      <c r="Q53" s="72"/>
      <c r="R53" s="72">
        <v>3.8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2609.2000000000003</v>
      </c>
      <c r="AG53" s="72">
        <f t="shared" si="11"/>
        <v>903.3999999999996</v>
      </c>
      <c r="AI53" s="21"/>
    </row>
    <row r="54" spans="1:35" s="18" customFormat="1" ht="15" customHeight="1">
      <c r="A54" s="96" t="s">
        <v>9</v>
      </c>
      <c r="B54" s="105">
        <v>2665</v>
      </c>
      <c r="C54" s="97">
        <v>732.3000000000002</v>
      </c>
      <c r="D54" s="72"/>
      <c r="E54" s="72"/>
      <c r="F54" s="72"/>
      <c r="G54" s="72">
        <v>111.5</v>
      </c>
      <c r="H54" s="72"/>
      <c r="I54" s="72"/>
      <c r="J54" s="72">
        <v>189.8</v>
      </c>
      <c r="K54" s="72">
        <v>1.9</v>
      </c>
      <c r="L54" s="72">
        <v>691.5</v>
      </c>
      <c r="M54" s="72">
        <v>343.2</v>
      </c>
      <c r="N54" s="72">
        <v>7.5</v>
      </c>
      <c r="O54" s="72">
        <v>137</v>
      </c>
      <c r="P54" s="72"/>
      <c r="Q54" s="72">
        <v>2.4</v>
      </c>
      <c r="R54" s="72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2553.500000000001</v>
      </c>
      <c r="AG54" s="72">
        <f t="shared" si="11"/>
        <v>843.7999999999993</v>
      </c>
      <c r="AH54" s="21"/>
      <c r="AI54" s="21"/>
    </row>
    <row r="55" spans="1:35" s="18" customFormat="1" ht="15.75">
      <c r="A55" s="98" t="s">
        <v>5</v>
      </c>
      <c r="B55" s="97">
        <v>1185</v>
      </c>
      <c r="C55" s="97">
        <v>185.39999999999986</v>
      </c>
      <c r="D55" s="72"/>
      <c r="E55" s="72"/>
      <c r="F55" s="72"/>
      <c r="G55" s="72"/>
      <c r="H55" s="72"/>
      <c r="I55" s="72"/>
      <c r="J55" s="72"/>
      <c r="K55" s="72"/>
      <c r="L55" s="72">
        <v>494.6</v>
      </c>
      <c r="M55" s="72"/>
      <c r="N55" s="72"/>
      <c r="O55" s="72"/>
      <c r="P55" s="72"/>
      <c r="Q55" s="72"/>
      <c r="R55" s="72"/>
      <c r="S55" s="72"/>
      <c r="T55" s="72"/>
      <c r="U55" s="72">
        <v>11.4</v>
      </c>
      <c r="V55" s="72">
        <v>607.6</v>
      </c>
      <c r="W55" s="72">
        <v>26.4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1140</v>
      </c>
      <c r="AG55" s="72">
        <f t="shared" si="11"/>
        <v>230.39999999999986</v>
      </c>
      <c r="AH55" s="21"/>
      <c r="AI55" s="21"/>
    </row>
    <row r="56" spans="1:35" s="18" customFormat="1" ht="15" customHeight="1">
      <c r="A56" s="98" t="s">
        <v>1</v>
      </c>
      <c r="B56" s="97">
        <v>7.5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v>7.5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7.5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384.6</v>
      </c>
      <c r="C57" s="97">
        <v>199.59999999999997</v>
      </c>
      <c r="D57" s="72"/>
      <c r="E57" s="72"/>
      <c r="F57" s="72"/>
      <c r="G57" s="72"/>
      <c r="H57" s="72"/>
      <c r="I57" s="72"/>
      <c r="J57" s="72"/>
      <c r="K57" s="72"/>
      <c r="L57" s="72">
        <v>98.5</v>
      </c>
      <c r="M57" s="72"/>
      <c r="N57" s="72"/>
      <c r="O57" s="72"/>
      <c r="P57" s="72"/>
      <c r="Q57" s="72"/>
      <c r="R57" s="72">
        <v>76.9</v>
      </c>
      <c r="S57" s="72">
        <v>0.5</v>
      </c>
      <c r="T57" s="72"/>
      <c r="U57" s="72"/>
      <c r="V57" s="72"/>
      <c r="W57" s="72">
        <v>2.2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178.1</v>
      </c>
      <c r="AG57" s="72">
        <f t="shared" si="11"/>
        <v>406.1</v>
      </c>
      <c r="AI57" s="21"/>
    </row>
    <row r="58" spans="1:35" s="18" customFormat="1" ht="15.75">
      <c r="A58" s="98" t="s">
        <v>16</v>
      </c>
      <c r="B58" s="99">
        <f>17+8.7</f>
        <v>25.7</v>
      </c>
      <c r="C58" s="97">
        <v>28.9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>
        <v>45.9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45.9</v>
      </c>
      <c r="AG58" s="72">
        <f t="shared" si="11"/>
        <v>8.699999999999996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1062.2</v>
      </c>
      <c r="C60" s="97">
        <v>318.4000000000004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111.5</v>
      </c>
      <c r="H60" s="72">
        <f t="shared" si="12"/>
        <v>0</v>
      </c>
      <c r="I60" s="72">
        <f t="shared" si="12"/>
        <v>0</v>
      </c>
      <c r="J60" s="72">
        <f t="shared" si="12"/>
        <v>189.8</v>
      </c>
      <c r="K60" s="72">
        <f t="shared" si="12"/>
        <v>1.9</v>
      </c>
      <c r="L60" s="72">
        <f t="shared" si="12"/>
        <v>98.39999999999998</v>
      </c>
      <c r="M60" s="72">
        <f t="shared" si="12"/>
        <v>343.2</v>
      </c>
      <c r="N60" s="72">
        <f t="shared" si="12"/>
        <v>0</v>
      </c>
      <c r="O60" s="72">
        <f t="shared" si="12"/>
        <v>137</v>
      </c>
      <c r="P60" s="72">
        <f t="shared" si="12"/>
        <v>0</v>
      </c>
      <c r="Q60" s="72">
        <f t="shared" si="12"/>
        <v>2.4</v>
      </c>
      <c r="R60" s="72">
        <f t="shared" si="12"/>
        <v>20.1</v>
      </c>
      <c r="S60" s="72">
        <f t="shared" si="12"/>
        <v>6.9</v>
      </c>
      <c r="T60" s="72">
        <f t="shared" si="12"/>
        <v>0</v>
      </c>
      <c r="U60" s="72">
        <f t="shared" si="12"/>
        <v>0</v>
      </c>
      <c r="V60" s="72">
        <f t="shared" si="12"/>
        <v>38.10000000000002</v>
      </c>
      <c r="W60" s="72">
        <f t="shared" si="12"/>
        <v>232.70000000000002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1182.000000000001</v>
      </c>
      <c r="AG60" s="72">
        <f>AG54-AG55-AG57-AG59-AG56-AG58</f>
        <v>198.5999999999994</v>
      </c>
      <c r="AI60" s="21"/>
    </row>
    <row r="61" spans="1:35" s="18" customFormat="1" ht="15" customHeight="1">
      <c r="A61" s="96" t="s">
        <v>10</v>
      </c>
      <c r="B61" s="97">
        <f>92+25</f>
        <v>117</v>
      </c>
      <c r="C61" s="97">
        <v>14.400000000000006</v>
      </c>
      <c r="D61" s="72"/>
      <c r="E61" s="72"/>
      <c r="F61" s="72"/>
      <c r="G61" s="72"/>
      <c r="H61" s="72">
        <v>25.1</v>
      </c>
      <c r="I61" s="72"/>
      <c r="J61" s="72"/>
      <c r="K61" s="72"/>
      <c r="L61" s="72">
        <v>13.5</v>
      </c>
      <c r="M61" s="72"/>
      <c r="N61" s="72"/>
      <c r="O61" s="72"/>
      <c r="P61" s="72"/>
      <c r="Q61" s="72">
        <v>2.2</v>
      </c>
      <c r="R61" s="72"/>
      <c r="S61" s="72">
        <v>2</v>
      </c>
      <c r="T61" s="72">
        <v>16.6</v>
      </c>
      <c r="U61" s="72">
        <v>22.9</v>
      </c>
      <c r="V61" s="72">
        <v>12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21"/>
    </row>
    <row r="62" spans="1:35" s="18" customFormat="1" ht="15" customHeight="1">
      <c r="A62" s="96" t="s">
        <v>11</v>
      </c>
      <c r="B62" s="97">
        <v>5551.1</v>
      </c>
      <c r="C62" s="97">
        <v>2119.7999999999997</v>
      </c>
      <c r="D62" s="72"/>
      <c r="E62" s="72"/>
      <c r="F62" s="72"/>
      <c r="G62" s="72">
        <v>70.2</v>
      </c>
      <c r="H62" s="72">
        <v>233.5</v>
      </c>
      <c r="I62" s="72"/>
      <c r="J62" s="72"/>
      <c r="K62" s="72">
        <v>966</v>
      </c>
      <c r="L62" s="72">
        <v>52.6</v>
      </c>
      <c r="M62" s="72">
        <v>123</v>
      </c>
      <c r="N62" s="72">
        <v>9.9</v>
      </c>
      <c r="O62" s="72"/>
      <c r="P62" s="72"/>
      <c r="Q62" s="72">
        <v>532.3</v>
      </c>
      <c r="R62" s="72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4161.9</v>
      </c>
      <c r="AG62" s="72">
        <f t="shared" si="14"/>
        <v>3509</v>
      </c>
      <c r="AI62" s="21"/>
    </row>
    <row r="63" spans="1:35" s="18" customFormat="1" ht="15.75">
      <c r="A63" s="98" t="s">
        <v>5</v>
      </c>
      <c r="B63" s="97">
        <v>2447.4</v>
      </c>
      <c r="C63" s="97">
        <v>336.7000000000003</v>
      </c>
      <c r="D63" s="72"/>
      <c r="E63" s="72"/>
      <c r="F63" s="72"/>
      <c r="G63" s="72"/>
      <c r="H63" s="72"/>
      <c r="I63" s="72"/>
      <c r="J63" s="72"/>
      <c r="K63" s="72">
        <v>792.3</v>
      </c>
      <c r="L63" s="72"/>
      <c r="M63" s="72"/>
      <c r="N63" s="72">
        <v>9.9</v>
      </c>
      <c r="O63" s="72"/>
      <c r="P63" s="72"/>
      <c r="Q63" s="72"/>
      <c r="R63" s="72"/>
      <c r="S63" s="72"/>
      <c r="T63" s="72"/>
      <c r="U63" s="72">
        <v>66.7</v>
      </c>
      <c r="V63" s="72">
        <v>1210.9</v>
      </c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2079.8</v>
      </c>
      <c r="AG63" s="72">
        <f t="shared" si="14"/>
        <v>704.3000000000002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535.2</v>
      </c>
      <c r="C65" s="97">
        <v>329.5</v>
      </c>
      <c r="D65" s="72"/>
      <c r="E65" s="72"/>
      <c r="F65" s="72"/>
      <c r="G65" s="72">
        <v>6.6</v>
      </c>
      <c r="H65" s="72"/>
      <c r="I65" s="72"/>
      <c r="J65" s="72"/>
      <c r="K65" s="72">
        <v>70.1</v>
      </c>
      <c r="L65" s="72"/>
      <c r="M65" s="72"/>
      <c r="N65" s="72"/>
      <c r="O65" s="72"/>
      <c r="P65" s="72"/>
      <c r="Q65" s="72">
        <v>102.1</v>
      </c>
      <c r="R65" s="72">
        <v>3.2</v>
      </c>
      <c r="S65" s="72"/>
      <c r="T65" s="72"/>
      <c r="U65" s="72"/>
      <c r="V65" s="72">
        <v>185.8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367.79999999999995</v>
      </c>
      <c r="AG65" s="72">
        <f t="shared" si="14"/>
        <v>496.9000000000001</v>
      </c>
      <c r="AH65" s="21"/>
      <c r="AI65" s="21"/>
    </row>
    <row r="66" spans="1:35" s="18" customFormat="1" ht="15.75">
      <c r="A66" s="98" t="s">
        <v>2</v>
      </c>
      <c r="B66" s="97">
        <v>211.3</v>
      </c>
      <c r="C66" s="97">
        <v>217.29999999999998</v>
      </c>
      <c r="D66" s="72"/>
      <c r="E66" s="72"/>
      <c r="F66" s="72"/>
      <c r="G66" s="72">
        <v>2.4</v>
      </c>
      <c r="H66" s="72"/>
      <c r="I66" s="72"/>
      <c r="J66" s="72"/>
      <c r="K66" s="72">
        <v>14.5</v>
      </c>
      <c r="L66" s="72"/>
      <c r="M66" s="72"/>
      <c r="N66" s="72"/>
      <c r="O66" s="72"/>
      <c r="P66" s="72"/>
      <c r="Q66" s="72">
        <v>23</v>
      </c>
      <c r="R66" s="72"/>
      <c r="S66" s="72"/>
      <c r="T66" s="72"/>
      <c r="U66" s="72"/>
      <c r="V66" s="72">
        <v>268</v>
      </c>
      <c r="W66" s="72">
        <v>5.9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313.79999999999995</v>
      </c>
      <c r="AG66" s="72">
        <f t="shared" si="14"/>
        <v>114.80000000000007</v>
      </c>
      <c r="AI66" s="21"/>
    </row>
    <row r="67" spans="1:35" s="18" customFormat="1" ht="15.75">
      <c r="A67" s="98" t="s">
        <v>16</v>
      </c>
      <c r="B67" s="97">
        <v>326</v>
      </c>
      <c r="C67" s="97">
        <v>353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242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242</v>
      </c>
      <c r="AG67" s="72">
        <f t="shared" si="14"/>
        <v>437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2031.2</v>
      </c>
      <c r="C68" s="97">
        <v>883.2999999999995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61.199999999999996</v>
      </c>
      <c r="H68" s="72">
        <f t="shared" si="15"/>
        <v>233.5</v>
      </c>
      <c r="I68" s="72">
        <f t="shared" si="15"/>
        <v>0</v>
      </c>
      <c r="J68" s="72">
        <f t="shared" si="15"/>
        <v>0</v>
      </c>
      <c r="K68" s="72">
        <f t="shared" si="15"/>
        <v>89.10000000000005</v>
      </c>
      <c r="L68" s="72">
        <f t="shared" si="15"/>
        <v>52.6</v>
      </c>
      <c r="M68" s="72">
        <f t="shared" si="15"/>
        <v>123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165.19999999999996</v>
      </c>
      <c r="R68" s="72">
        <f t="shared" si="15"/>
        <v>5.1000000000000005</v>
      </c>
      <c r="S68" s="72">
        <f t="shared" si="15"/>
        <v>0</v>
      </c>
      <c r="T68" s="72">
        <f t="shared" si="15"/>
        <v>75.6</v>
      </c>
      <c r="U68" s="72">
        <f t="shared" si="15"/>
        <v>246.7</v>
      </c>
      <c r="V68" s="72">
        <f t="shared" si="15"/>
        <v>106.49999999999994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1158.5</v>
      </c>
      <c r="AG68" s="72">
        <f>AG62-AG63-AG66-AG67-AG65-AG64</f>
        <v>1755.9999999999995</v>
      </c>
      <c r="AI68" s="21"/>
    </row>
    <row r="69" spans="1:35" s="18" customFormat="1" ht="31.5">
      <c r="A69" s="96" t="s">
        <v>45</v>
      </c>
      <c r="B69" s="97">
        <f>2033.6+50</f>
        <v>2083.6</v>
      </c>
      <c r="C69" s="97">
        <v>18.300000000000182</v>
      </c>
      <c r="D69" s="72"/>
      <c r="E69" s="72"/>
      <c r="F69" s="72"/>
      <c r="G69" s="72"/>
      <c r="H69" s="72"/>
      <c r="I69" s="72"/>
      <c r="J69" s="72"/>
      <c r="K69" s="72"/>
      <c r="L69" s="72"/>
      <c r="M69" s="72">
        <v>879.7</v>
      </c>
      <c r="N69" s="72"/>
      <c r="O69" s="72"/>
      <c r="P69" s="72">
        <v>893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1772.7</v>
      </c>
      <c r="AG69" s="89">
        <f aca="true" t="shared" si="16" ref="AG69:AG92">B69+C69-AF69</f>
        <v>329.20000000000005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1303+42.6</f>
        <v>1345.6</v>
      </c>
      <c r="C71" s="109">
        <v>1399.4</v>
      </c>
      <c r="D71" s="80"/>
      <c r="E71" s="80">
        <v>469.6</v>
      </c>
      <c r="F71" s="80"/>
      <c r="G71" s="80"/>
      <c r="H71" s="80">
        <v>898.6</v>
      </c>
      <c r="I71" s="80"/>
      <c r="J71" s="80"/>
      <c r="K71" s="80"/>
      <c r="L71" s="80"/>
      <c r="M71" s="80">
        <v>871.8</v>
      </c>
      <c r="N71" s="80"/>
      <c r="O71" s="80"/>
      <c r="P71" s="80"/>
      <c r="Q71" s="80"/>
      <c r="R71" s="80">
        <v>55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2295</v>
      </c>
      <c r="AG71" s="89">
        <f t="shared" si="16"/>
        <v>450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1968.1+10-65.8</f>
        <v>1912.3</v>
      </c>
      <c r="C72" s="97">
        <v>1395.4999999999998</v>
      </c>
      <c r="D72" s="72"/>
      <c r="E72" s="72">
        <v>53.3</v>
      </c>
      <c r="F72" s="72">
        <v>109</v>
      </c>
      <c r="G72" s="72">
        <v>1.4</v>
      </c>
      <c r="H72" s="72">
        <f>1024.1-879.7</f>
        <v>144.39999999999986</v>
      </c>
      <c r="I72" s="72"/>
      <c r="J72" s="72">
        <v>19.8</v>
      </c>
      <c r="K72" s="72">
        <v>10</v>
      </c>
      <c r="L72" s="72">
        <v>115.6</v>
      </c>
      <c r="M72" s="72">
        <v>53.3</v>
      </c>
      <c r="N72" s="72">
        <v>13.7</v>
      </c>
      <c r="O72" s="72">
        <v>22.1</v>
      </c>
      <c r="P72" s="72">
        <v>4.9</v>
      </c>
      <c r="Q72" s="72"/>
      <c r="R72" s="72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1094.5</v>
      </c>
      <c r="AG72" s="89">
        <f t="shared" si="16"/>
        <v>2213.2999999999997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80.5</v>
      </c>
      <c r="W73" s="72"/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80.5</v>
      </c>
      <c r="AG73" s="89">
        <f t="shared" si="16"/>
        <v>0.09999999999999432</v>
      </c>
      <c r="AI73" s="21"/>
    </row>
    <row r="74" spans="1:35" s="18" customFormat="1" ht="15" customHeight="1">
      <c r="A74" s="98" t="s">
        <v>2</v>
      </c>
      <c r="B74" s="97">
        <f>323.4+55</f>
        <v>378.4</v>
      </c>
      <c r="C74" s="97">
        <v>191.0999999999999</v>
      </c>
      <c r="D74" s="72"/>
      <c r="E74" s="72">
        <v>53.3</v>
      </c>
      <c r="F74" s="72">
        <v>1.8</v>
      </c>
      <c r="G74" s="72">
        <v>1.1</v>
      </c>
      <c r="H74" s="72">
        <v>124.9</v>
      </c>
      <c r="I74" s="72"/>
      <c r="J74" s="72"/>
      <c r="K74" s="72"/>
      <c r="L74" s="72">
        <f>24.9+29.8</f>
        <v>54.7</v>
      </c>
      <c r="M74" s="72"/>
      <c r="N74" s="72"/>
      <c r="O74" s="72">
        <v>0.5</v>
      </c>
      <c r="P74" s="72">
        <v>0.6</v>
      </c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236.9</v>
      </c>
      <c r="AG74" s="89">
        <f t="shared" si="16"/>
        <v>332.5999999999999</v>
      </c>
      <c r="AI74" s="21"/>
    </row>
    <row r="75" spans="1:35" s="18" customFormat="1" ht="15" customHeight="1">
      <c r="A75" s="98" t="s">
        <v>16</v>
      </c>
      <c r="B75" s="97">
        <f>10+11.6</f>
        <v>21.6</v>
      </c>
      <c r="C75" s="97">
        <v>3.8999999999999986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>
        <v>7.7</v>
      </c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7.7</v>
      </c>
      <c r="AG75" s="89">
        <f t="shared" si="16"/>
        <v>17.8</v>
      </c>
      <c r="AI75" s="21"/>
    </row>
    <row r="76" spans="1:35" s="112" customFormat="1" ht="15.75">
      <c r="A76" s="111" t="s">
        <v>48</v>
      </c>
      <c r="B76" s="97">
        <v>198.7</v>
      </c>
      <c r="C76" s="97">
        <v>49.20000000000002</v>
      </c>
      <c r="D76" s="72"/>
      <c r="E76" s="80"/>
      <c r="F76" s="80"/>
      <c r="G76" s="80"/>
      <c r="H76" s="80"/>
      <c r="I76" s="80"/>
      <c r="J76" s="80"/>
      <c r="K76" s="80">
        <v>76.4</v>
      </c>
      <c r="L76" s="80"/>
      <c r="M76" s="80"/>
      <c r="N76" s="80"/>
      <c r="O76" s="80"/>
      <c r="P76" s="80"/>
      <c r="Q76" s="80"/>
      <c r="R76" s="80"/>
      <c r="S76" s="80"/>
      <c r="T76" s="80"/>
      <c r="U76" s="80">
        <v>140.9</v>
      </c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217.3</v>
      </c>
      <c r="AG76" s="89">
        <f t="shared" si="16"/>
        <v>30.599999999999994</v>
      </c>
      <c r="AI76" s="21"/>
    </row>
    <row r="77" spans="1:35" s="112" customFormat="1" ht="15.75">
      <c r="A77" s="98" t="s">
        <v>5</v>
      </c>
      <c r="B77" s="97">
        <v>136.2</v>
      </c>
      <c r="C77" s="97">
        <v>8.800000000000011</v>
      </c>
      <c r="D77" s="72"/>
      <c r="E77" s="80"/>
      <c r="F77" s="80"/>
      <c r="G77" s="80"/>
      <c r="H77" s="80"/>
      <c r="I77" s="80"/>
      <c r="J77" s="80"/>
      <c r="K77" s="80">
        <v>59</v>
      </c>
      <c r="L77" s="80"/>
      <c r="M77" s="80"/>
      <c r="N77" s="80"/>
      <c r="O77" s="80"/>
      <c r="P77" s="80"/>
      <c r="Q77" s="80"/>
      <c r="R77" s="80"/>
      <c r="S77" s="80"/>
      <c r="T77" s="80"/>
      <c r="U77" s="80">
        <v>82.2</v>
      </c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141.2</v>
      </c>
      <c r="AG77" s="89">
        <f t="shared" si="16"/>
        <v>3.8000000000000114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7.5</v>
      </c>
      <c r="C80" s="97">
        <v>8.400000000000002</v>
      </c>
      <c r="D80" s="72"/>
      <c r="E80" s="80"/>
      <c r="F80" s="80"/>
      <c r="G80" s="80"/>
      <c r="H80" s="80"/>
      <c r="I80" s="80"/>
      <c r="J80" s="80"/>
      <c r="K80" s="80">
        <v>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7.4</v>
      </c>
      <c r="AG80" s="89">
        <f t="shared" si="16"/>
        <v>8.500000000000002</v>
      </c>
      <c r="AI80" s="21"/>
    </row>
    <row r="81" spans="1:35" s="112" customFormat="1" ht="15.75">
      <c r="A81" s="111" t="s">
        <v>49</v>
      </c>
      <c r="B81" s="97">
        <v>29.5</v>
      </c>
      <c r="C81" s="109">
        <v>0</v>
      </c>
      <c r="D81" s="80"/>
      <c r="E81" s="80"/>
      <c r="F81" s="80"/>
      <c r="G81" s="80"/>
      <c r="H81" s="80"/>
      <c r="I81" s="80"/>
      <c r="J81" s="80"/>
      <c r="K81" s="80">
        <v>29.5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29.5</v>
      </c>
      <c r="AG81" s="89">
        <f t="shared" si="16"/>
        <v>0</v>
      </c>
      <c r="AI81" s="21"/>
    </row>
    <row r="82" spans="1:35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72">
        <f t="shared" si="13"/>
        <v>0</v>
      </c>
      <c r="AG82" s="89">
        <f t="shared" si="16"/>
        <v>0</v>
      </c>
      <c r="AI82" s="21"/>
    </row>
    <row r="83" spans="1:35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72">
        <f t="shared" si="13"/>
        <v>0</v>
      </c>
      <c r="AG83" s="72">
        <f t="shared" si="16"/>
        <v>0</v>
      </c>
      <c r="AI83" s="21"/>
    </row>
    <row r="84" spans="1:35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72">
        <f t="shared" si="13"/>
        <v>0</v>
      </c>
      <c r="AG84" s="72">
        <f t="shared" si="16"/>
        <v>0</v>
      </c>
      <c r="AI84" s="21"/>
    </row>
    <row r="85" spans="1:35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72">
        <f t="shared" si="13"/>
        <v>0</v>
      </c>
      <c r="AG85" s="72">
        <f t="shared" si="16"/>
        <v>0</v>
      </c>
      <c r="AI85" s="21"/>
    </row>
    <row r="86" spans="1:35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72">
        <f t="shared" si="13"/>
        <v>0</v>
      </c>
      <c r="AG86" s="72">
        <f t="shared" si="16"/>
        <v>0</v>
      </c>
      <c r="AI86" s="21"/>
    </row>
    <row r="87" spans="1:35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72">
        <f t="shared" si="13"/>
        <v>0</v>
      </c>
      <c r="AG87" s="72">
        <f t="shared" si="16"/>
        <v>0</v>
      </c>
      <c r="AI87" s="21"/>
    </row>
    <row r="88" spans="1:35" s="18" customFormat="1" ht="15.75" hidden="1">
      <c r="A88" s="96" t="s">
        <v>44</v>
      </c>
      <c r="B88" s="97"/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>
        <f t="shared" si="13"/>
        <v>0</v>
      </c>
      <c r="AG88" s="72">
        <f t="shared" si="16"/>
        <v>0</v>
      </c>
      <c r="AH88" s="112"/>
      <c r="AI88" s="21"/>
    </row>
    <row r="89" spans="1:35" s="18" customFormat="1" ht="15.75">
      <c r="A89" s="96" t="s">
        <v>50</v>
      </c>
      <c r="B89" s="97">
        <v>7924.8</v>
      </c>
      <c r="C89" s="97">
        <v>2149.6000000000004</v>
      </c>
      <c r="D89" s="72"/>
      <c r="E89" s="72"/>
      <c r="F89" s="72"/>
      <c r="G89" s="72">
        <v>1136.8</v>
      </c>
      <c r="H89" s="72">
        <v>45.8</v>
      </c>
      <c r="I89" s="72"/>
      <c r="J89" s="72"/>
      <c r="K89" s="72"/>
      <c r="L89" s="72">
        <v>142.4</v>
      </c>
      <c r="M89" s="72"/>
      <c r="N89" s="72"/>
      <c r="O89" s="72"/>
      <c r="P89" s="72"/>
      <c r="Q89" s="72">
        <v>633.4</v>
      </c>
      <c r="R89" s="72"/>
      <c r="S89" s="72">
        <v>904.4</v>
      </c>
      <c r="T89" s="72"/>
      <c r="U89" s="72">
        <v>5049.6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7912.400000000001</v>
      </c>
      <c r="AG89" s="72">
        <f t="shared" si="16"/>
        <v>2162.000000000001</v>
      </c>
      <c r="AH89" s="112"/>
      <c r="AI89" s="21"/>
    </row>
    <row r="90" spans="1:35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>
        <v>1886.8</v>
      </c>
      <c r="I90" s="72"/>
      <c r="J90" s="72"/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>
        <v>1886.8</v>
      </c>
      <c r="Y90" s="72"/>
      <c r="Z90" s="72"/>
      <c r="AA90" s="72"/>
      <c r="AB90" s="72"/>
      <c r="AC90" s="72"/>
      <c r="AD90" s="72"/>
      <c r="AE90" s="72"/>
      <c r="AF90" s="72">
        <f t="shared" si="13"/>
        <v>5660.4</v>
      </c>
      <c r="AG90" s="72">
        <f t="shared" si="16"/>
        <v>0</v>
      </c>
      <c r="AH90" s="112"/>
      <c r="AI90" s="21"/>
    </row>
    <row r="91" spans="1:35" s="18" customFormat="1" ht="15.75">
      <c r="A91" s="96" t="s">
        <v>25</v>
      </c>
      <c r="B91" s="97">
        <v>833.3</v>
      </c>
      <c r="C91" s="97">
        <v>1666.6999999999998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>
        <f t="shared" si="13"/>
        <v>0</v>
      </c>
      <c r="AG91" s="72">
        <f t="shared" si="16"/>
        <v>2500</v>
      </c>
      <c r="AH91" s="112"/>
      <c r="AI91" s="21"/>
    </row>
    <row r="92" spans="1:34" s="18" customFormat="1" ht="15.75">
      <c r="A92" s="96" t="s">
        <v>37</v>
      </c>
      <c r="B92" s="97">
        <v>22098</v>
      </c>
      <c r="C92" s="97">
        <f>18420.7+1.8</f>
        <v>18422.5</v>
      </c>
      <c r="D92" s="72"/>
      <c r="E92" s="72">
        <v>20631.5</v>
      </c>
      <c r="F92" s="72">
        <v>2864.5</v>
      </c>
      <c r="G92" s="72">
        <v>2072.8</v>
      </c>
      <c r="H92" s="72"/>
      <c r="I92" s="72"/>
      <c r="J92" s="72">
        <v>10611.8</v>
      </c>
      <c r="K92" s="72">
        <v>26.4</v>
      </c>
      <c r="L92" s="72">
        <v>-6447.8</v>
      </c>
      <c r="M92" s="72">
        <v>-3782.8</v>
      </c>
      <c r="N92" s="72">
        <v>-4677.3</v>
      </c>
      <c r="O92" s="72">
        <v>4676.1</v>
      </c>
      <c r="P92" s="72"/>
      <c r="Q92" s="72">
        <v>-2746.7</v>
      </c>
      <c r="R92" s="72"/>
      <c r="S92" s="72">
        <v>-2356.3</v>
      </c>
      <c r="T92" s="72"/>
      <c r="U92" s="72"/>
      <c r="V92" s="72">
        <v>-5820.8</v>
      </c>
      <c r="W92" s="72">
        <v>6091.9</v>
      </c>
      <c r="X92" s="72">
        <v>14434.9</v>
      </c>
      <c r="Y92" s="72"/>
      <c r="Z92" s="72"/>
      <c r="AA92" s="72"/>
      <c r="AB92" s="72"/>
      <c r="AC92" s="72"/>
      <c r="AD92" s="72"/>
      <c r="AE92" s="72"/>
      <c r="AF92" s="72">
        <f t="shared" si="13"/>
        <v>35578.200000000004</v>
      </c>
      <c r="AG92" s="72">
        <f t="shared" si="16"/>
        <v>4942.299999999996</v>
      </c>
      <c r="AH92" s="115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8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0"/>
      <c r="E15" s="100">
        <v>629.5</v>
      </c>
      <c r="F15" s="72">
        <v>733.5</v>
      </c>
      <c r="G15" s="72">
        <v>255.6</v>
      </c>
      <c r="H15" s="72">
        <v>2756.8</v>
      </c>
      <c r="I15" s="72"/>
      <c r="J15" s="72">
        <f>628.6+8.7</f>
        <v>637.3000000000001</v>
      </c>
      <c r="K15" s="72">
        <v>2675.8</v>
      </c>
      <c r="L15" s="72">
        <v>1146.4</v>
      </c>
      <c r="M15" s="72">
        <f>15913.4+10597.9</f>
        <v>26511.3</v>
      </c>
      <c r="N15" s="72">
        <v>989.9</v>
      </c>
      <c r="O15" s="72">
        <v>15.5</v>
      </c>
      <c r="P15" s="72">
        <v>1558</v>
      </c>
      <c r="Q15" s="72">
        <v>1305.3</v>
      </c>
      <c r="R15" s="72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76410.60000000002</v>
      </c>
      <c r="AG15" s="72">
        <f aca="true" t="shared" si="3" ref="AG15:AG31">B15+C15-AF15</f>
        <v>31558.09999999999</v>
      </c>
      <c r="AI15" s="21"/>
    </row>
    <row r="16" spans="1:35" s="104" customFormat="1" ht="15" customHeight="1">
      <c r="A16" s="101" t="s">
        <v>38</v>
      </c>
      <c r="B16" s="102">
        <v>23019.6</v>
      </c>
      <c r="C16" s="102">
        <v>42.79999999999927</v>
      </c>
      <c r="D16" s="88"/>
      <c r="E16" s="88"/>
      <c r="F16" s="76"/>
      <c r="G16" s="76"/>
      <c r="H16" s="76"/>
      <c r="I16" s="76"/>
      <c r="J16" s="76">
        <v>8.7</v>
      </c>
      <c r="K16" s="76"/>
      <c r="L16" s="76"/>
      <c r="M16" s="76">
        <v>10597.9</v>
      </c>
      <c r="N16" s="76"/>
      <c r="O16" s="76"/>
      <c r="P16" s="76"/>
      <c r="Q16" s="76"/>
      <c r="R16" s="76"/>
      <c r="S16" s="76"/>
      <c r="T16" s="76"/>
      <c r="U16" s="76">
        <v>12396.8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23003.4</v>
      </c>
      <c r="AG16" s="88">
        <f t="shared" si="3"/>
        <v>58.99999999999636</v>
      </c>
      <c r="AH16" s="103"/>
      <c r="AI16" s="21"/>
    </row>
    <row r="17" spans="1:35" s="18" customFormat="1" ht="15.75">
      <c r="A17" s="98" t="s">
        <v>5</v>
      </c>
      <c r="B17" s="97">
        <v>61793.1</v>
      </c>
      <c r="C17" s="97">
        <v>2733.659999999996</v>
      </c>
      <c r="D17" s="72"/>
      <c r="E17" s="72">
        <v>5.3</v>
      </c>
      <c r="F17" s="72">
        <v>4.8</v>
      </c>
      <c r="G17" s="72"/>
      <c r="H17" s="72"/>
      <c r="I17" s="72"/>
      <c r="J17" s="72">
        <v>8.7</v>
      </c>
      <c r="K17" s="72"/>
      <c r="L17" s="72"/>
      <c r="M17" s="72">
        <f>13704.4+10597.9</f>
        <v>24302.3</v>
      </c>
      <c r="N17" s="72"/>
      <c r="O17" s="72"/>
      <c r="P17" s="72"/>
      <c r="Q17" s="72"/>
      <c r="R17" s="72"/>
      <c r="S17" s="72"/>
      <c r="T17" s="72"/>
      <c r="U17" s="72">
        <f>21312.8+12396.7</f>
        <v>33709.5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58030.6</v>
      </c>
      <c r="AG17" s="72">
        <f t="shared" si="3"/>
        <v>6496.159999999996</v>
      </c>
      <c r="AH17" s="21"/>
      <c r="AI17" s="21"/>
    </row>
    <row r="18" spans="1:35" s="18" customFormat="1" ht="15.75">
      <c r="A18" s="98" t="s">
        <v>3</v>
      </c>
      <c r="B18" s="97"/>
      <c r="C18" s="97">
        <v>15.8</v>
      </c>
      <c r="D18" s="72"/>
      <c r="E18" s="72"/>
      <c r="F18" s="72"/>
      <c r="G18" s="72"/>
      <c r="H18" s="72">
        <v>0.3</v>
      </c>
      <c r="I18" s="72"/>
      <c r="J18" s="72">
        <v>0.4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0.7</v>
      </c>
      <c r="AG18" s="72">
        <f t="shared" si="3"/>
        <v>15.100000000000001</v>
      </c>
      <c r="AI18" s="21"/>
    </row>
    <row r="19" spans="1:35" s="18" customFormat="1" ht="15.75">
      <c r="A19" s="98" t="s">
        <v>1</v>
      </c>
      <c r="B19" s="97">
        <v>5306.4</v>
      </c>
      <c r="C19" s="97">
        <v>2409.8999999999996</v>
      </c>
      <c r="D19" s="72"/>
      <c r="E19" s="72">
        <v>363.3</v>
      </c>
      <c r="F19" s="72">
        <v>73.4</v>
      </c>
      <c r="G19" s="72">
        <v>41.9</v>
      </c>
      <c r="H19" s="72">
        <v>403.7</v>
      </c>
      <c r="I19" s="72"/>
      <c r="J19" s="72">
        <v>10.1</v>
      </c>
      <c r="K19" s="72">
        <v>702.9</v>
      </c>
      <c r="L19" s="72">
        <v>518</v>
      </c>
      <c r="M19" s="72">
        <v>32.3</v>
      </c>
      <c r="N19" s="72">
        <v>798.8</v>
      </c>
      <c r="O19" s="72"/>
      <c r="P19" s="72">
        <v>479.5</v>
      </c>
      <c r="Q19" s="72">
        <v>841.8</v>
      </c>
      <c r="R19" s="72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5167.700000000001</v>
      </c>
      <c r="AG19" s="72">
        <f t="shared" si="3"/>
        <v>2548.5999999999985</v>
      </c>
      <c r="AI19" s="21"/>
    </row>
    <row r="20" spans="1:35" s="18" customFormat="1" ht="15.75">
      <c r="A20" s="98" t="s">
        <v>2</v>
      </c>
      <c r="B20" s="97">
        <v>6956.5</v>
      </c>
      <c r="C20" s="97">
        <v>19342.3</v>
      </c>
      <c r="D20" s="72"/>
      <c r="E20" s="72">
        <v>65.1</v>
      </c>
      <c r="F20" s="72">
        <v>547.6</v>
      </c>
      <c r="G20" s="72">
        <v>206.2</v>
      </c>
      <c r="H20" s="72">
        <v>1957.7</v>
      </c>
      <c r="I20" s="72"/>
      <c r="J20" s="72">
        <v>517</v>
      </c>
      <c r="K20" s="72">
        <v>1972.2</v>
      </c>
      <c r="L20" s="72">
        <v>544.3</v>
      </c>
      <c r="M20" s="72">
        <v>1550.3</v>
      </c>
      <c r="N20" s="72">
        <v>130.4</v>
      </c>
      <c r="O20" s="72"/>
      <c r="P20" s="72">
        <v>1057.3</v>
      </c>
      <c r="Q20" s="72">
        <v>163.5</v>
      </c>
      <c r="R20" s="72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9459.100000000002</v>
      </c>
      <c r="AG20" s="72">
        <f t="shared" si="3"/>
        <v>16839.699999999997</v>
      </c>
      <c r="AI20" s="21"/>
    </row>
    <row r="21" spans="1:35" s="18" customFormat="1" ht="15.75">
      <c r="A21" s="98" t="s">
        <v>16</v>
      </c>
      <c r="B21" s="97">
        <f>1151.3-2</f>
        <v>1149.3</v>
      </c>
      <c r="C21" s="97">
        <v>347.5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194.7</v>
      </c>
      <c r="N21" s="72"/>
      <c r="O21" s="72"/>
      <c r="P21" s="72"/>
      <c r="Q21" s="72"/>
      <c r="R21" s="72">
        <v>350.5</v>
      </c>
      <c r="S21" s="72"/>
      <c r="T21" s="72">
        <v>306</v>
      </c>
      <c r="U21" s="72">
        <v>128.9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980.1</v>
      </c>
      <c r="AG21" s="72">
        <f t="shared" si="3"/>
        <v>516.6999999999999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3476.1000000000104</v>
      </c>
      <c r="C23" s="97">
        <v>4652.540000000017</v>
      </c>
      <c r="D23" s="72">
        <f aca="true" t="shared" si="4" ref="D23:AD23">D15-D17-D18-D19-D20-D21-D22</f>
        <v>0</v>
      </c>
      <c r="E23" s="72">
        <f t="shared" si="4"/>
        <v>195.80000000000004</v>
      </c>
      <c r="F23" s="72">
        <f t="shared" si="4"/>
        <v>107.70000000000005</v>
      </c>
      <c r="G23" s="72">
        <f t="shared" si="4"/>
        <v>7.5</v>
      </c>
      <c r="H23" s="72">
        <f t="shared" si="4"/>
        <v>395.10000000000014</v>
      </c>
      <c r="I23" s="72">
        <f t="shared" si="4"/>
        <v>0</v>
      </c>
      <c r="J23" s="72">
        <f t="shared" si="4"/>
        <v>101.10000000000002</v>
      </c>
      <c r="K23" s="72">
        <f t="shared" si="4"/>
        <v>0.7000000000000455</v>
      </c>
      <c r="L23" s="72">
        <f t="shared" si="4"/>
        <v>84.10000000000014</v>
      </c>
      <c r="M23" s="72">
        <f t="shared" si="4"/>
        <v>431.6999999999999</v>
      </c>
      <c r="N23" s="72">
        <f t="shared" si="4"/>
        <v>60.70000000000002</v>
      </c>
      <c r="O23" s="72">
        <f t="shared" si="4"/>
        <v>15.5</v>
      </c>
      <c r="P23" s="72">
        <f t="shared" si="4"/>
        <v>21.200000000000045</v>
      </c>
      <c r="Q23" s="72">
        <f t="shared" si="4"/>
        <v>300</v>
      </c>
      <c r="R23" s="72">
        <f t="shared" si="4"/>
        <v>20.5</v>
      </c>
      <c r="S23" s="72">
        <f t="shared" si="4"/>
        <v>386.2000000000001</v>
      </c>
      <c r="T23" s="72">
        <f t="shared" si="4"/>
        <v>278.19999999999993</v>
      </c>
      <c r="U23" s="72">
        <f t="shared" si="4"/>
        <v>275.80000000000587</v>
      </c>
      <c r="V23" s="72">
        <f t="shared" si="4"/>
        <v>91</v>
      </c>
      <c r="W23" s="72">
        <f t="shared" si="4"/>
        <v>-0.39999999999999947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2772.4000000000065</v>
      </c>
      <c r="AG23" s="72">
        <f t="shared" si="3"/>
        <v>5356.240000000022</v>
      </c>
      <c r="AI23" s="21"/>
    </row>
    <row r="24" spans="1:35" s="18" customFormat="1" ht="15" customHeight="1">
      <c r="A24" s="96" t="s">
        <v>7</v>
      </c>
      <c r="B24" s="97">
        <v>43035.5</v>
      </c>
      <c r="C24" s="97">
        <v>11664.400000000009</v>
      </c>
      <c r="D24" s="72"/>
      <c r="E24" s="72">
        <f>112+0.7</f>
        <v>112.7</v>
      </c>
      <c r="F24" s="72">
        <v>344.2</v>
      </c>
      <c r="G24" s="72"/>
      <c r="H24" s="72">
        <v>2929.9</v>
      </c>
      <c r="I24" s="72"/>
      <c r="J24" s="72">
        <f>1165.4+743.9</f>
        <v>1909.3000000000002</v>
      </c>
      <c r="K24" s="72"/>
      <c r="L24" s="72">
        <f>679.4+7774.7</f>
        <v>8454.1</v>
      </c>
      <c r="M24" s="72">
        <v>2133.2</v>
      </c>
      <c r="N24" s="72">
        <f>898.2+803.2</f>
        <v>1701.4</v>
      </c>
      <c r="O24" s="72">
        <v>71.5</v>
      </c>
      <c r="P24" s="72">
        <v>33.9</v>
      </c>
      <c r="Q24" s="72"/>
      <c r="R24" s="72"/>
      <c r="S24" s="72">
        <f>3441.8+1127</f>
        <v>4568.8</v>
      </c>
      <c r="T24" s="72">
        <f>11820.4+4421.6</f>
        <v>16242</v>
      </c>
      <c r="U24" s="72">
        <v>307.4</v>
      </c>
      <c r="V24" s="72">
        <f>1843.4+2</f>
        <v>1845.4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40653.8</v>
      </c>
      <c r="AG24" s="72">
        <f t="shared" si="3"/>
        <v>14046.100000000006</v>
      </c>
      <c r="AI24" s="21"/>
    </row>
    <row r="25" spans="1:35" s="104" customFormat="1" ht="15" customHeight="1">
      <c r="A25" s="101" t="s">
        <v>39</v>
      </c>
      <c r="B25" s="102">
        <v>17138</v>
      </c>
      <c r="C25" s="102">
        <v>0</v>
      </c>
      <c r="D25" s="76"/>
      <c r="E25" s="76">
        <v>0.7</v>
      </c>
      <c r="F25" s="76"/>
      <c r="G25" s="76"/>
      <c r="H25" s="76"/>
      <c r="I25" s="76"/>
      <c r="J25" s="76">
        <v>743.9</v>
      </c>
      <c r="K25" s="76"/>
      <c r="L25" s="76">
        <v>7774.7</v>
      </c>
      <c r="M25" s="76">
        <v>2133.2</v>
      </c>
      <c r="N25" s="76">
        <v>803.2</v>
      </c>
      <c r="O25" s="76"/>
      <c r="P25" s="76">
        <v>33.9</v>
      </c>
      <c r="Q25" s="76"/>
      <c r="R25" s="76"/>
      <c r="S25" s="76">
        <v>1127</v>
      </c>
      <c r="T25" s="76">
        <v>4421.6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17038.2</v>
      </c>
      <c r="AG25" s="88">
        <f t="shared" si="3"/>
        <v>99.79999999999927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90.9</v>
      </c>
      <c r="C30" s="97">
        <v>181.7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199.3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199.3</v>
      </c>
      <c r="AG30" s="72">
        <f t="shared" si="3"/>
        <v>73.30000000000001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42944.6</v>
      </c>
      <c r="C32" s="97">
        <v>11482.700000000008</v>
      </c>
      <c r="D32" s="72">
        <f aca="true" t="shared" si="5" ref="D32:AD32">D24-D26-D27-D28-D29-D30-D31</f>
        <v>0</v>
      </c>
      <c r="E32" s="72">
        <f t="shared" si="5"/>
        <v>112.7</v>
      </c>
      <c r="F32" s="72">
        <f t="shared" si="5"/>
        <v>344.2</v>
      </c>
      <c r="G32" s="72">
        <f t="shared" si="5"/>
        <v>0</v>
      </c>
      <c r="H32" s="72">
        <f t="shared" si="5"/>
        <v>2929.9</v>
      </c>
      <c r="I32" s="72">
        <f t="shared" si="5"/>
        <v>0</v>
      </c>
      <c r="J32" s="72">
        <f t="shared" si="5"/>
        <v>1909.3000000000002</v>
      </c>
      <c r="K32" s="72">
        <f t="shared" si="5"/>
        <v>0</v>
      </c>
      <c r="L32" s="72">
        <f t="shared" si="5"/>
        <v>8454.1</v>
      </c>
      <c r="M32" s="72">
        <f t="shared" si="5"/>
        <v>2133.2</v>
      </c>
      <c r="N32" s="72">
        <f t="shared" si="5"/>
        <v>1701.4</v>
      </c>
      <c r="O32" s="72">
        <f t="shared" si="5"/>
        <v>71.5</v>
      </c>
      <c r="P32" s="72">
        <f t="shared" si="5"/>
        <v>33.9</v>
      </c>
      <c r="Q32" s="72">
        <f t="shared" si="5"/>
        <v>0</v>
      </c>
      <c r="R32" s="72">
        <f t="shared" si="5"/>
        <v>0</v>
      </c>
      <c r="S32" s="72">
        <f t="shared" si="5"/>
        <v>4369.5</v>
      </c>
      <c r="T32" s="72">
        <f t="shared" si="5"/>
        <v>16242</v>
      </c>
      <c r="U32" s="72">
        <f t="shared" si="5"/>
        <v>307.4</v>
      </c>
      <c r="V32" s="72">
        <f t="shared" si="5"/>
        <v>1845.4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40454.50000000001</v>
      </c>
      <c r="AG32" s="72">
        <f>AG24-AG30</f>
        <v>13972.800000000007</v>
      </c>
      <c r="AI32" s="21"/>
    </row>
    <row r="33" spans="1:35" s="18" customFormat="1" ht="15" customHeight="1">
      <c r="A33" s="96" t="s">
        <v>8</v>
      </c>
      <c r="B33" s="97">
        <v>438.5</v>
      </c>
      <c r="C33" s="97">
        <v>153.20000000000016</v>
      </c>
      <c r="D33" s="72"/>
      <c r="E33" s="72"/>
      <c r="F33" s="72"/>
      <c r="G33" s="72"/>
      <c r="H33" s="72"/>
      <c r="I33" s="72"/>
      <c r="J33" s="72">
        <v>30.8</v>
      </c>
      <c r="K33" s="72"/>
      <c r="L33" s="72">
        <v>60.6</v>
      </c>
      <c r="M33" s="72">
        <v>59.8</v>
      </c>
      <c r="N33" s="72">
        <v>0.5</v>
      </c>
      <c r="O33" s="72"/>
      <c r="P33" s="72"/>
      <c r="Q33" s="72"/>
      <c r="R33" s="72">
        <v>2.3</v>
      </c>
      <c r="S33" s="72"/>
      <c r="T33" s="72">
        <v>86.2</v>
      </c>
      <c r="U33" s="72">
        <f>133.9-1.9</f>
        <v>132</v>
      </c>
      <c r="V33" s="72">
        <f>48.6+0.1</f>
        <v>48.7</v>
      </c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420.9</v>
      </c>
      <c r="AG33" s="72">
        <f aca="true" t="shared" si="6" ref="AG33:AG38">B33+C33-AF33</f>
        <v>170.80000000000018</v>
      </c>
      <c r="AI33" s="21"/>
    </row>
    <row r="34" spans="1:35" s="18" customFormat="1" ht="15.75">
      <c r="A34" s="98" t="s">
        <v>5</v>
      </c>
      <c r="B34" s="97">
        <v>298</v>
      </c>
      <c r="C34" s="97">
        <v>24.69999999999999</v>
      </c>
      <c r="D34" s="72"/>
      <c r="E34" s="72"/>
      <c r="F34" s="72"/>
      <c r="G34" s="72"/>
      <c r="H34" s="72"/>
      <c r="I34" s="72"/>
      <c r="J34" s="72"/>
      <c r="K34" s="72"/>
      <c r="L34" s="72">
        <v>54.2</v>
      </c>
      <c r="M34" s="72">
        <v>59.8</v>
      </c>
      <c r="N34" s="72"/>
      <c r="O34" s="72"/>
      <c r="P34" s="72"/>
      <c r="Q34" s="72"/>
      <c r="R34" s="72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309.9</v>
      </c>
      <c r="AG34" s="72">
        <f t="shared" si="6"/>
        <v>12.800000000000011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48</v>
      </c>
      <c r="C36" s="97">
        <v>78.2</v>
      </c>
      <c r="D36" s="72"/>
      <c r="E36" s="72"/>
      <c r="F36" s="72"/>
      <c r="G36" s="72"/>
      <c r="H36" s="72"/>
      <c r="I36" s="72"/>
      <c r="J36" s="72">
        <v>30.8</v>
      </c>
      <c r="K36" s="72"/>
      <c r="L36" s="72"/>
      <c r="M36" s="72"/>
      <c r="N36" s="72">
        <v>0.2</v>
      </c>
      <c r="O36" s="72"/>
      <c r="P36" s="72"/>
      <c r="Q36" s="72"/>
      <c r="R36" s="72"/>
      <c r="S36" s="72"/>
      <c r="T36" s="72"/>
      <c r="U36" s="72">
        <v>16.8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47.8</v>
      </c>
      <c r="AG36" s="72">
        <f t="shared" si="6"/>
        <v>78.4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92.5</v>
      </c>
      <c r="C39" s="97">
        <v>50.30000000000017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6.399999999999999</v>
      </c>
      <c r="M39" s="72">
        <f t="shared" si="7"/>
        <v>0</v>
      </c>
      <c r="N39" s="72">
        <f t="shared" si="7"/>
        <v>0.3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2.3</v>
      </c>
      <c r="S39" s="72">
        <f t="shared" si="7"/>
        <v>0</v>
      </c>
      <c r="T39" s="72">
        <f t="shared" si="7"/>
        <v>0</v>
      </c>
      <c r="U39" s="72">
        <f t="shared" si="7"/>
        <v>5.4999999999999964</v>
      </c>
      <c r="V39" s="72">
        <f t="shared" si="7"/>
        <v>48.7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63.199999999999996</v>
      </c>
      <c r="AG39" s="72">
        <f>AG33-AG34-AG36-AG38-AG35-AG37</f>
        <v>79.60000000000016</v>
      </c>
      <c r="AI39" s="21"/>
    </row>
    <row r="40" spans="1:35" s="18" customFormat="1" ht="15" customHeight="1">
      <c r="A40" s="96" t="s">
        <v>29</v>
      </c>
      <c r="B40" s="97">
        <v>1509.7</v>
      </c>
      <c r="C40" s="97">
        <v>205.00000000000023</v>
      </c>
      <c r="D40" s="72"/>
      <c r="E40" s="72"/>
      <c r="F40" s="72"/>
      <c r="G40" s="72"/>
      <c r="H40" s="72">
        <v>61.4</v>
      </c>
      <c r="I40" s="72"/>
      <c r="J40" s="72">
        <v>2.9</v>
      </c>
      <c r="K40" s="72"/>
      <c r="L40" s="72">
        <v>439.9</v>
      </c>
      <c r="M40" s="72"/>
      <c r="N40" s="72"/>
      <c r="O40" s="72"/>
      <c r="P40" s="72">
        <v>0.3</v>
      </c>
      <c r="Q40" s="72"/>
      <c r="R40" s="72">
        <v>42</v>
      </c>
      <c r="S40" s="72"/>
      <c r="T40" s="72"/>
      <c r="U40" s="72">
        <v>847.8</v>
      </c>
      <c r="V40" s="72"/>
      <c r="W40" s="72">
        <v>8.3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1402.6</v>
      </c>
      <c r="AG40" s="72">
        <f aca="true" t="shared" si="8" ref="AG40:AG45">B40+C40-AF40</f>
        <v>312.10000000000036</v>
      </c>
      <c r="AI40" s="21"/>
    </row>
    <row r="41" spans="1:35" s="18" customFormat="1" ht="15.75">
      <c r="A41" s="98" t="s">
        <v>5</v>
      </c>
      <c r="B41" s="97">
        <v>1296.4</v>
      </c>
      <c r="C41" s="97">
        <v>101.19999999999982</v>
      </c>
      <c r="D41" s="72"/>
      <c r="E41" s="72"/>
      <c r="F41" s="72"/>
      <c r="G41" s="72"/>
      <c r="H41" s="72"/>
      <c r="I41" s="72"/>
      <c r="J41" s="72"/>
      <c r="K41" s="72"/>
      <c r="L41" s="72">
        <v>425</v>
      </c>
      <c r="M41" s="72"/>
      <c r="N41" s="72"/>
      <c r="O41" s="72"/>
      <c r="P41" s="72"/>
      <c r="Q41" s="72"/>
      <c r="R41" s="72"/>
      <c r="S41" s="72"/>
      <c r="T41" s="72"/>
      <c r="U41" s="72">
        <f>839.9+0.1</f>
        <v>840</v>
      </c>
      <c r="V41" s="72"/>
      <c r="W41" s="72">
        <v>7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1272</v>
      </c>
      <c r="AG41" s="72">
        <f t="shared" si="8"/>
        <v>125.59999999999991</v>
      </c>
      <c r="AH41" s="21"/>
      <c r="AI41" s="21"/>
    </row>
    <row r="42" spans="1:35" s="18" customFormat="1" ht="15.75">
      <c r="A42" s="98" t="s">
        <v>3</v>
      </c>
      <c r="B42" s="97"/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2.3000000000000007</v>
      </c>
      <c r="D43" s="72"/>
      <c r="E43" s="72"/>
      <c r="F43" s="72"/>
      <c r="G43" s="72"/>
      <c r="H43" s="72">
        <v>10.1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10.1</v>
      </c>
      <c r="AG43" s="72">
        <f t="shared" si="8"/>
        <v>2.5000000000000018</v>
      </c>
      <c r="AI43" s="21"/>
    </row>
    <row r="44" spans="1:35" s="18" customFormat="1" ht="15.75">
      <c r="A44" s="98" t="s">
        <v>2</v>
      </c>
      <c r="B44" s="97">
        <v>168.6</v>
      </c>
      <c r="C44" s="97">
        <v>92.10000000000005</v>
      </c>
      <c r="D44" s="72"/>
      <c r="E44" s="72"/>
      <c r="F44" s="72"/>
      <c r="G44" s="72"/>
      <c r="H44" s="72">
        <v>37.7</v>
      </c>
      <c r="I44" s="72"/>
      <c r="J44" s="72"/>
      <c r="K44" s="72"/>
      <c r="L44" s="72"/>
      <c r="M44" s="72"/>
      <c r="N44" s="72"/>
      <c r="O44" s="72"/>
      <c r="P44" s="72">
        <v>0.1</v>
      </c>
      <c r="Q44" s="72"/>
      <c r="R44" s="72">
        <v>42</v>
      </c>
      <c r="S44" s="72"/>
      <c r="T44" s="72"/>
      <c r="U44" s="72">
        <v>5.3</v>
      </c>
      <c r="V44" s="72"/>
      <c r="W44" s="72">
        <v>1.3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86.4</v>
      </c>
      <c r="AG44" s="72">
        <f t="shared" si="8"/>
        <v>174.30000000000004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34.39999999999995</v>
      </c>
      <c r="C46" s="97">
        <v>8.500000000000355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13.599999999999994</v>
      </c>
      <c r="I46" s="72">
        <f t="shared" si="9"/>
        <v>0</v>
      </c>
      <c r="J46" s="72">
        <f t="shared" si="9"/>
        <v>2.9</v>
      </c>
      <c r="K46" s="72">
        <f t="shared" si="9"/>
        <v>0</v>
      </c>
      <c r="L46" s="72">
        <f t="shared" si="9"/>
        <v>14.899999999999977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0.19999999999999998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2.4999999999999547</v>
      </c>
      <c r="V46" s="72">
        <f t="shared" si="9"/>
        <v>0</v>
      </c>
      <c r="W46" s="72">
        <f t="shared" si="9"/>
        <v>6.661338147750939E-16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34.09999999999992</v>
      </c>
      <c r="AG46" s="72">
        <f>AG40-AG41-AG42-AG43-AG44-AG45</f>
        <v>8.80000000000041</v>
      </c>
      <c r="AI46" s="21"/>
    </row>
    <row r="47" spans="1:35" s="18" customFormat="1" ht="17.25" customHeight="1">
      <c r="A47" s="96" t="s">
        <v>43</v>
      </c>
      <c r="B47" s="99">
        <f>6591+15.1-20+7.6-100</f>
        <v>6493.700000000001</v>
      </c>
      <c r="C47" s="97">
        <v>2862.6000000000004</v>
      </c>
      <c r="D47" s="72"/>
      <c r="E47" s="80"/>
      <c r="F47" s="80">
        <v>244.7</v>
      </c>
      <c r="G47" s="80">
        <v>2133</v>
      </c>
      <c r="H47" s="80"/>
      <c r="I47" s="80"/>
      <c r="J47" s="80">
        <v>95.9</v>
      </c>
      <c r="K47" s="80">
        <v>222.1</v>
      </c>
      <c r="L47" s="80"/>
      <c r="M47" s="80"/>
      <c r="N47" s="80">
        <v>227.2</v>
      </c>
      <c r="O47" s="80"/>
      <c r="P47" s="80">
        <v>5.1</v>
      </c>
      <c r="Q47" s="80">
        <v>12.2</v>
      </c>
      <c r="R47" s="80">
        <v>1874.9</v>
      </c>
      <c r="S47" s="80">
        <v>12</v>
      </c>
      <c r="T47" s="80">
        <v>212.4</v>
      </c>
      <c r="U47" s="80">
        <v>688.5</v>
      </c>
      <c r="V47" s="80">
        <f>49.9-8.5</f>
        <v>41.4</v>
      </c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5769.399999999999</v>
      </c>
      <c r="AG47" s="72">
        <f>B47+C47-AF47</f>
        <v>3586.9000000000024</v>
      </c>
      <c r="AI47" s="21"/>
    </row>
    <row r="48" spans="1:35" s="18" customFormat="1" ht="15.75">
      <c r="A48" s="98" t="s">
        <v>5</v>
      </c>
      <c r="B48" s="97">
        <v>54.4</v>
      </c>
      <c r="C48" s="97">
        <v>54.4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>
        <v>0</v>
      </c>
      <c r="V48" s="80">
        <v>19.3</v>
      </c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19.3</v>
      </c>
      <c r="AG48" s="72">
        <f>B48+C48-AF48</f>
        <v>89.5</v>
      </c>
      <c r="AI48" s="21"/>
    </row>
    <row r="49" spans="1:35" s="18" customFormat="1" ht="15.75">
      <c r="A49" s="98" t="s">
        <v>16</v>
      </c>
      <c r="B49" s="97">
        <f>5882+15.1-20+7.6</f>
        <v>5884.700000000001</v>
      </c>
      <c r="C49" s="97">
        <v>1470.6000000000004</v>
      </c>
      <c r="D49" s="72"/>
      <c r="E49" s="72"/>
      <c r="F49" s="72">
        <v>244.7</v>
      </c>
      <c r="G49" s="72">
        <v>2133</v>
      </c>
      <c r="H49" s="72"/>
      <c r="I49" s="72"/>
      <c r="J49" s="72">
        <v>95.9</v>
      </c>
      <c r="K49" s="72">
        <v>222</v>
      </c>
      <c r="L49" s="72"/>
      <c r="M49" s="72"/>
      <c r="N49" s="72">
        <f>164.6+40.2</f>
        <v>204.8</v>
      </c>
      <c r="O49" s="72"/>
      <c r="P49" s="72">
        <v>5.1</v>
      </c>
      <c r="Q49" s="72"/>
      <c r="R49" s="72">
        <f>1874.9-19.1</f>
        <v>1855.8000000000002</v>
      </c>
      <c r="S49" s="72">
        <v>12</v>
      </c>
      <c r="T49" s="72">
        <v>212.4</v>
      </c>
      <c r="U49" s="72">
        <v>439.2</v>
      </c>
      <c r="V49" s="72">
        <f>30.6-8.5-2</f>
        <v>20.1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5445</v>
      </c>
      <c r="AG49" s="72">
        <f>B49+C49-AF49</f>
        <v>1910.300000000001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554.6000000000004</v>
      </c>
      <c r="C51" s="97">
        <v>1337.6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0.09999999999999432</v>
      </c>
      <c r="L51" s="72">
        <f t="shared" si="10"/>
        <v>0</v>
      </c>
      <c r="M51" s="72">
        <f t="shared" si="10"/>
        <v>0</v>
      </c>
      <c r="N51" s="72">
        <f t="shared" si="10"/>
        <v>22.399999999999977</v>
      </c>
      <c r="O51" s="72">
        <f t="shared" si="10"/>
        <v>0</v>
      </c>
      <c r="P51" s="72">
        <f t="shared" si="10"/>
        <v>0</v>
      </c>
      <c r="Q51" s="72">
        <f t="shared" si="10"/>
        <v>12.2</v>
      </c>
      <c r="R51" s="72">
        <f t="shared" si="10"/>
        <v>19.09999999999991</v>
      </c>
      <c r="S51" s="72">
        <f t="shared" si="10"/>
        <v>0</v>
      </c>
      <c r="T51" s="72">
        <f t="shared" si="10"/>
        <v>0</v>
      </c>
      <c r="U51" s="72">
        <f t="shared" si="10"/>
        <v>249.3</v>
      </c>
      <c r="V51" s="72">
        <f t="shared" si="10"/>
        <v>1.9999999999999964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305.0999999999999</v>
      </c>
      <c r="AG51" s="72">
        <f>AG47-AG49-AG48</f>
        <v>1587.1000000000013</v>
      </c>
      <c r="AI51" s="21"/>
    </row>
    <row r="52" spans="1:35" s="18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72"/>
      <c r="E52" s="72">
        <v>3.5</v>
      </c>
      <c r="F52" s="72">
        <v>157.9</v>
      </c>
      <c r="G52" s="72">
        <v>215.4</v>
      </c>
      <c r="H52" s="72">
        <v>10546.5</v>
      </c>
      <c r="I52" s="72"/>
      <c r="J52" s="72">
        <v>1149.5</v>
      </c>
      <c r="K52" s="72">
        <v>25.1</v>
      </c>
      <c r="L52" s="72"/>
      <c r="M52" s="72">
        <v>98.2</v>
      </c>
      <c r="N52" s="72">
        <v>543.6</v>
      </c>
      <c r="O52" s="72"/>
      <c r="P52" s="72"/>
      <c r="Q52" s="72">
        <v>176.7</v>
      </c>
      <c r="R52" s="72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16747</v>
      </c>
      <c r="AG52" s="72">
        <f aca="true" t="shared" si="11" ref="AG52:AG59">B52+C52-AF52</f>
        <v>4215.599999999995</v>
      </c>
      <c r="AI52" s="21"/>
    </row>
    <row r="53" spans="1:35" s="18" customFormat="1" ht="15" customHeight="1">
      <c r="A53" s="98" t="s">
        <v>2</v>
      </c>
      <c r="B53" s="97">
        <f>2612.5-1000</f>
        <v>1612.5</v>
      </c>
      <c r="C53" s="97">
        <v>903.3999999999996</v>
      </c>
      <c r="D53" s="72"/>
      <c r="E53" s="72"/>
      <c r="F53" s="72"/>
      <c r="G53" s="72"/>
      <c r="H53" s="72">
        <v>0.7</v>
      </c>
      <c r="I53" s="72"/>
      <c r="J53" s="72">
        <v>1149.5</v>
      </c>
      <c r="K53" s="72"/>
      <c r="L53" s="72"/>
      <c r="M53" s="72"/>
      <c r="N53" s="72">
        <v>2.1</v>
      </c>
      <c r="O53" s="72"/>
      <c r="P53" s="72"/>
      <c r="Q53" s="72">
        <v>129.3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1281.6</v>
      </c>
      <c r="AG53" s="72">
        <f t="shared" si="11"/>
        <v>1234.2999999999997</v>
      </c>
      <c r="AI53" s="21"/>
    </row>
    <row r="54" spans="1:35" s="18" customFormat="1" ht="15" customHeight="1">
      <c r="A54" s="96" t="s">
        <v>9</v>
      </c>
      <c r="B54" s="105">
        <f>2393.5-20-119.8</f>
        <v>2253.7</v>
      </c>
      <c r="C54" s="97">
        <v>843.7999999999993</v>
      </c>
      <c r="D54" s="72"/>
      <c r="E54" s="72"/>
      <c r="F54" s="72"/>
      <c r="G54" s="72">
        <v>185.8</v>
      </c>
      <c r="H54" s="72">
        <v>10</v>
      </c>
      <c r="I54" s="72"/>
      <c r="J54" s="72">
        <v>194.2</v>
      </c>
      <c r="K54" s="72"/>
      <c r="L54" s="72">
        <v>438.5</v>
      </c>
      <c r="M54" s="72">
        <v>103.2</v>
      </c>
      <c r="N54" s="72">
        <v>2.9</v>
      </c>
      <c r="O54" s="72"/>
      <c r="P54" s="72">
        <v>164.1</v>
      </c>
      <c r="Q54" s="72">
        <v>18.2</v>
      </c>
      <c r="R54" s="72">
        <v>9.3</v>
      </c>
      <c r="S54" s="72"/>
      <c r="T54" s="72">
        <v>153.4</v>
      </c>
      <c r="U54" s="72">
        <v>826.8</v>
      </c>
      <c r="V54" s="72">
        <v>25.7</v>
      </c>
      <c r="W54" s="72">
        <f>38.5+0.2</f>
        <v>38.7</v>
      </c>
      <c r="X54" s="72">
        <v>-19.8</v>
      </c>
      <c r="Y54" s="72"/>
      <c r="Z54" s="72"/>
      <c r="AA54" s="72"/>
      <c r="AB54" s="72"/>
      <c r="AC54" s="72"/>
      <c r="AD54" s="72"/>
      <c r="AE54" s="72"/>
      <c r="AF54" s="72">
        <f t="shared" si="1"/>
        <v>2150.9999999999995</v>
      </c>
      <c r="AG54" s="72">
        <f t="shared" si="11"/>
        <v>946.4999999999995</v>
      </c>
      <c r="AH54" s="21"/>
      <c r="AI54" s="21"/>
    </row>
    <row r="55" spans="1:35" s="18" customFormat="1" ht="15.75">
      <c r="A55" s="98" t="s">
        <v>5</v>
      </c>
      <c r="B55" s="97">
        <v>1199.2</v>
      </c>
      <c r="C55" s="97">
        <v>230.39999999999986</v>
      </c>
      <c r="D55" s="72"/>
      <c r="E55" s="72"/>
      <c r="F55" s="72"/>
      <c r="G55" s="72"/>
      <c r="H55" s="72"/>
      <c r="I55" s="72"/>
      <c r="J55" s="72"/>
      <c r="K55" s="72"/>
      <c r="L55" s="72">
        <v>384.9</v>
      </c>
      <c r="M55" s="72">
        <v>103.2</v>
      </c>
      <c r="N55" s="72"/>
      <c r="O55" s="72"/>
      <c r="P55" s="72">
        <v>27.1</v>
      </c>
      <c r="Q55" s="72"/>
      <c r="R55" s="72"/>
      <c r="S55" s="72"/>
      <c r="T55" s="72">
        <v>151.5</v>
      </c>
      <c r="U55" s="72">
        <v>461.6</v>
      </c>
      <c r="V55" s="72"/>
      <c r="W55" s="72">
        <f>16.4-0.5</f>
        <v>15.899999999999999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1144.2</v>
      </c>
      <c r="AG55" s="72">
        <f t="shared" si="11"/>
        <v>285.39999999999986</v>
      </c>
      <c r="AH55" s="21"/>
      <c r="AI55" s="21"/>
    </row>
    <row r="56" spans="1:35" s="18" customFormat="1" ht="15" customHeight="1">
      <c r="A56" s="98" t="s">
        <v>1</v>
      </c>
      <c r="B56" s="97">
        <f>3+1.9</f>
        <v>4.9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>
        <v>3</v>
      </c>
      <c r="R56" s="72"/>
      <c r="S56" s="72"/>
      <c r="T56" s="72">
        <v>1.9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4.9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265.2</v>
      </c>
      <c r="C57" s="97">
        <v>406.1</v>
      </c>
      <c r="D57" s="72"/>
      <c r="E57" s="72"/>
      <c r="F57" s="72"/>
      <c r="G57" s="72"/>
      <c r="H57" s="72"/>
      <c r="I57" s="72"/>
      <c r="J57" s="72">
        <v>6.6</v>
      </c>
      <c r="K57" s="72"/>
      <c r="L57" s="72">
        <v>52.2</v>
      </c>
      <c r="M57" s="72"/>
      <c r="N57" s="72"/>
      <c r="O57" s="72"/>
      <c r="P57" s="72"/>
      <c r="Q57" s="72"/>
      <c r="R57" s="72"/>
      <c r="S57" s="72"/>
      <c r="T57" s="72"/>
      <c r="U57" s="72">
        <v>342.8</v>
      </c>
      <c r="V57" s="72">
        <f>0.4+3.3</f>
        <v>3.6999999999999997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405.3</v>
      </c>
      <c r="AG57" s="72">
        <f t="shared" si="11"/>
        <v>265.99999999999994</v>
      </c>
      <c r="AI57" s="21"/>
    </row>
    <row r="58" spans="1:35" s="18" customFormat="1" ht="15.75">
      <c r="A58" s="98" t="s">
        <v>16</v>
      </c>
      <c r="B58" s="99">
        <v>17</v>
      </c>
      <c r="C58" s="97">
        <v>8.699999999999996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f t="shared" si="11"/>
        <v>25.699999999999996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185.8</v>
      </c>
      <c r="H60" s="72">
        <f t="shared" si="12"/>
        <v>10</v>
      </c>
      <c r="I60" s="72">
        <f t="shared" si="12"/>
        <v>0</v>
      </c>
      <c r="J60" s="72">
        <f t="shared" si="12"/>
        <v>187.6</v>
      </c>
      <c r="K60" s="72">
        <f t="shared" si="12"/>
        <v>0</v>
      </c>
      <c r="L60" s="72">
        <f t="shared" si="12"/>
        <v>1.40000000000002</v>
      </c>
      <c r="M60" s="72">
        <f t="shared" si="12"/>
        <v>0</v>
      </c>
      <c r="N60" s="72">
        <f t="shared" si="12"/>
        <v>2.9</v>
      </c>
      <c r="O60" s="72">
        <f t="shared" si="12"/>
        <v>0</v>
      </c>
      <c r="P60" s="72">
        <f t="shared" si="12"/>
        <v>137</v>
      </c>
      <c r="Q60" s="72">
        <f t="shared" si="12"/>
        <v>15.2</v>
      </c>
      <c r="R60" s="72">
        <f t="shared" si="12"/>
        <v>9.3</v>
      </c>
      <c r="S60" s="72">
        <f t="shared" si="12"/>
        <v>0</v>
      </c>
      <c r="T60" s="72">
        <f t="shared" si="12"/>
        <v>5.773159728050814E-15</v>
      </c>
      <c r="U60" s="72">
        <f t="shared" si="12"/>
        <v>22.39999999999992</v>
      </c>
      <c r="V60" s="72">
        <f t="shared" si="12"/>
        <v>22</v>
      </c>
      <c r="W60" s="72">
        <f t="shared" si="12"/>
        <v>22.800000000000004</v>
      </c>
      <c r="X60" s="72">
        <f t="shared" si="12"/>
        <v>-19.8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596.5999999999996</v>
      </c>
      <c r="AG60" s="72">
        <f>AG54-AG55-AG57-AG59-AG56-AG58</f>
        <v>369.39999999999975</v>
      </c>
      <c r="AI60" s="21"/>
    </row>
    <row r="61" spans="1:35" s="18" customFormat="1" ht="15" customHeight="1">
      <c r="A61" s="96" t="s">
        <v>10</v>
      </c>
      <c r="B61" s="97">
        <v>92</v>
      </c>
      <c r="C61" s="97">
        <v>37.099999999999994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>
        <v>21</v>
      </c>
      <c r="O61" s="72"/>
      <c r="P61" s="72">
        <v>7.7</v>
      </c>
      <c r="Q61" s="72">
        <v>15.6</v>
      </c>
      <c r="R61" s="72"/>
      <c r="S61" s="72"/>
      <c r="T61" s="72">
        <v>10</v>
      </c>
      <c r="U61" s="72"/>
      <c r="V61" s="72">
        <v>15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69.3</v>
      </c>
      <c r="AG61" s="72">
        <f aca="true" t="shared" si="14" ref="AG61:AG67">B61+C61-AF61</f>
        <v>59.8</v>
      </c>
      <c r="AI61" s="21"/>
    </row>
    <row r="62" spans="1:35" s="18" customFormat="1" ht="15" customHeight="1">
      <c r="A62" s="96" t="s">
        <v>11</v>
      </c>
      <c r="B62" s="97">
        <f>5806.6-33</f>
        <v>5773.6</v>
      </c>
      <c r="C62" s="97">
        <v>3509</v>
      </c>
      <c r="D62" s="72"/>
      <c r="E62" s="72"/>
      <c r="F62" s="72">
        <v>98.2</v>
      </c>
      <c r="G62" s="72"/>
      <c r="H62" s="72"/>
      <c r="I62" s="72"/>
      <c r="J62" s="72">
        <v>182.6</v>
      </c>
      <c r="K62" s="72">
        <v>0.5</v>
      </c>
      <c r="L62" s="72">
        <v>835.2</v>
      </c>
      <c r="M62" s="72">
        <v>180.6</v>
      </c>
      <c r="N62" s="72">
        <v>94</v>
      </c>
      <c r="O62" s="72"/>
      <c r="P62" s="72"/>
      <c r="Q62" s="72"/>
      <c r="R62" s="72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4451.200000000001</v>
      </c>
      <c r="AG62" s="72">
        <f t="shared" si="14"/>
        <v>4831.4</v>
      </c>
      <c r="AI62" s="21"/>
    </row>
    <row r="63" spans="1:35" s="18" customFormat="1" ht="15.75">
      <c r="A63" s="98" t="s">
        <v>5</v>
      </c>
      <c r="B63" s="97">
        <v>2436.6</v>
      </c>
      <c r="C63" s="97">
        <v>704.3000000000002</v>
      </c>
      <c r="D63" s="72"/>
      <c r="E63" s="72"/>
      <c r="F63" s="72"/>
      <c r="G63" s="72"/>
      <c r="H63" s="72"/>
      <c r="I63" s="72"/>
      <c r="J63" s="72"/>
      <c r="K63" s="72"/>
      <c r="L63" s="72">
        <v>835.2</v>
      </c>
      <c r="M63" s="72"/>
      <c r="N63" s="72"/>
      <c r="O63" s="72"/>
      <c r="P63" s="72"/>
      <c r="Q63" s="72"/>
      <c r="R63" s="72"/>
      <c r="S63" s="72"/>
      <c r="T63" s="72">
        <v>313.7</v>
      </c>
      <c r="U63" s="72">
        <v>945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2093.9</v>
      </c>
      <c r="AG63" s="72">
        <f t="shared" si="14"/>
        <v>1047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539.2</v>
      </c>
      <c r="C65" s="97">
        <v>496.9000000000001</v>
      </c>
      <c r="D65" s="72"/>
      <c r="E65" s="72"/>
      <c r="F65" s="72"/>
      <c r="G65" s="72"/>
      <c r="H65" s="72"/>
      <c r="I65" s="72"/>
      <c r="J65" s="72">
        <v>105</v>
      </c>
      <c r="K65" s="72"/>
      <c r="L65" s="72"/>
      <c r="M65" s="72"/>
      <c r="N65" s="72"/>
      <c r="O65" s="72"/>
      <c r="P65" s="72"/>
      <c r="Q65" s="72"/>
      <c r="R65" s="72">
        <v>116.2</v>
      </c>
      <c r="S65" s="72"/>
      <c r="T65" s="72"/>
      <c r="U65" s="72"/>
      <c r="V65" s="72">
        <v>245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466.2</v>
      </c>
      <c r="AG65" s="72">
        <f t="shared" si="14"/>
        <v>569.9000000000001</v>
      </c>
      <c r="AH65" s="21"/>
      <c r="AI65" s="21"/>
    </row>
    <row r="66" spans="1:35" s="18" customFormat="1" ht="15.75">
      <c r="A66" s="98" t="s">
        <v>2</v>
      </c>
      <c r="B66" s="97">
        <v>149.3</v>
      </c>
      <c r="C66" s="97">
        <v>114.80000000000007</v>
      </c>
      <c r="D66" s="72"/>
      <c r="E66" s="72"/>
      <c r="F66" s="72"/>
      <c r="G66" s="72"/>
      <c r="H66" s="72"/>
      <c r="I66" s="72"/>
      <c r="J66" s="72">
        <v>8.8</v>
      </c>
      <c r="K66" s="72">
        <v>0.5</v>
      </c>
      <c r="L66" s="72"/>
      <c r="M66" s="72"/>
      <c r="N66" s="72">
        <v>18.5</v>
      </c>
      <c r="O66" s="72"/>
      <c r="P66" s="72"/>
      <c r="Q66" s="72"/>
      <c r="R66" s="72">
        <v>22.5</v>
      </c>
      <c r="S66" s="72"/>
      <c r="T66" s="72">
        <v>0.1</v>
      </c>
      <c r="U66" s="72"/>
      <c r="V66" s="72">
        <v>5.1</v>
      </c>
      <c r="W66" s="72">
        <v>69.1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124.6</v>
      </c>
      <c r="AG66" s="72">
        <f t="shared" si="14"/>
        <v>139.50000000000009</v>
      </c>
      <c r="AI66" s="21"/>
    </row>
    <row r="67" spans="1:35" s="18" customFormat="1" ht="15.75">
      <c r="A67" s="98" t="s">
        <v>16</v>
      </c>
      <c r="B67" s="97">
        <v>550</v>
      </c>
      <c r="C67" s="97">
        <v>437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245</v>
      </c>
      <c r="AG67" s="72">
        <f t="shared" si="14"/>
        <v>742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2098.5</v>
      </c>
      <c r="C68" s="97">
        <v>1755.9999999999995</v>
      </c>
      <c r="D68" s="72">
        <f t="shared" si="15"/>
        <v>0</v>
      </c>
      <c r="E68" s="72">
        <f t="shared" si="15"/>
        <v>0</v>
      </c>
      <c r="F68" s="72">
        <f t="shared" si="15"/>
        <v>98.2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68.79999999999998</v>
      </c>
      <c r="K68" s="72">
        <f t="shared" si="15"/>
        <v>0</v>
      </c>
      <c r="L68" s="72">
        <f t="shared" si="15"/>
        <v>0</v>
      </c>
      <c r="M68" s="72">
        <f t="shared" si="15"/>
        <v>180.6</v>
      </c>
      <c r="N68" s="72">
        <f t="shared" si="15"/>
        <v>75.5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54.3</v>
      </c>
      <c r="S68" s="72">
        <f t="shared" si="15"/>
        <v>0</v>
      </c>
      <c r="T68" s="72">
        <f t="shared" si="15"/>
        <v>113.50000000000003</v>
      </c>
      <c r="U68" s="72">
        <f t="shared" si="15"/>
        <v>131.29999999999995</v>
      </c>
      <c r="V68" s="72">
        <f t="shared" si="15"/>
        <v>789.3000000000002</v>
      </c>
      <c r="W68" s="72">
        <f t="shared" si="15"/>
        <v>10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1521.5000000000002</v>
      </c>
      <c r="AG68" s="72">
        <f>AG62-AG63-AG66-AG67-AG65-AG64</f>
        <v>2332.9999999999995</v>
      </c>
      <c r="AI68" s="21"/>
    </row>
    <row r="69" spans="1:35" s="18" customFormat="1" ht="31.5">
      <c r="A69" s="96" t="s">
        <v>45</v>
      </c>
      <c r="B69" s="97">
        <v>2336.1</v>
      </c>
      <c r="C69" s="97">
        <v>329.20000000000005</v>
      </c>
      <c r="D69" s="72"/>
      <c r="E69" s="72"/>
      <c r="F69" s="72"/>
      <c r="G69" s="72">
        <v>994.8</v>
      </c>
      <c r="H69" s="72"/>
      <c r="I69" s="72"/>
      <c r="J69" s="72"/>
      <c r="K69" s="72"/>
      <c r="L69" s="72"/>
      <c r="M69" s="72"/>
      <c r="N69" s="72"/>
      <c r="O69" s="72"/>
      <c r="P69" s="72"/>
      <c r="Q69" s="72">
        <f>887.7</f>
        <v>887.7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1882.5</v>
      </c>
      <c r="AG69" s="89">
        <f aca="true" t="shared" si="16" ref="AG69:AG92">B69+C69-AF69</f>
        <v>782.8000000000002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85.6+2125</f>
        <v>2210.6</v>
      </c>
      <c r="C71" s="109">
        <v>450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>
        <v>430.7</v>
      </c>
      <c r="V71" s="80">
        <v>600.4</v>
      </c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1031.1</v>
      </c>
      <c r="AG71" s="89">
        <f t="shared" si="16"/>
        <v>1629.5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1918.5-22.7-7.6-100-50-97.7</f>
        <v>1640.5</v>
      </c>
      <c r="C72" s="97">
        <v>2213.2999999999997</v>
      </c>
      <c r="D72" s="72"/>
      <c r="E72" s="72">
        <v>209.6</v>
      </c>
      <c r="F72" s="72">
        <v>97</v>
      </c>
      <c r="G72" s="72">
        <v>18.7</v>
      </c>
      <c r="H72" s="72"/>
      <c r="I72" s="72"/>
      <c r="J72" s="72">
        <v>14.1</v>
      </c>
      <c r="K72" s="72">
        <v>18.1</v>
      </c>
      <c r="L72" s="72">
        <v>187.2</v>
      </c>
      <c r="M72" s="72">
        <v>14.7</v>
      </c>
      <c r="N72" s="72">
        <v>217.2</v>
      </c>
      <c r="O72" s="72">
        <v>174</v>
      </c>
      <c r="P72" s="72">
        <v>148.3</v>
      </c>
      <c r="Q72" s="72">
        <v>12.3</v>
      </c>
      <c r="R72" s="72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</v>
      </c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1758.3000000000002</v>
      </c>
      <c r="AG72" s="89">
        <f t="shared" si="16"/>
        <v>2095.4999999999995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0.1</v>
      </c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80.6</v>
      </c>
      <c r="AG73" s="89">
        <f t="shared" si="16"/>
        <v>0</v>
      </c>
      <c r="AI73" s="21"/>
    </row>
    <row r="74" spans="1:35" s="18" customFormat="1" ht="15" customHeight="1">
      <c r="A74" s="98" t="s">
        <v>2</v>
      </c>
      <c r="B74" s="97">
        <f>41+308.4+0.1</f>
        <v>349.5</v>
      </c>
      <c r="C74" s="97">
        <v>332.5999999999999</v>
      </c>
      <c r="D74" s="72"/>
      <c r="E74" s="72">
        <v>6.2</v>
      </c>
      <c r="F74" s="72">
        <v>38.5</v>
      </c>
      <c r="G74" s="72"/>
      <c r="H74" s="72"/>
      <c r="I74" s="72"/>
      <c r="J74" s="72"/>
      <c r="K74" s="72"/>
      <c r="L74" s="72">
        <f>59+95</f>
        <v>154</v>
      </c>
      <c r="M74" s="72">
        <v>14.7</v>
      </c>
      <c r="N74" s="72">
        <f>0.7+0.2</f>
        <v>0.8999999999999999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214.29999999999998</v>
      </c>
      <c r="AG74" s="89">
        <f t="shared" si="16"/>
        <v>467.79999999999995</v>
      </c>
      <c r="AI74" s="21"/>
    </row>
    <row r="75" spans="1:35" s="18" customFormat="1" ht="15" customHeight="1">
      <c r="A75" s="98" t="s">
        <v>16</v>
      </c>
      <c r="B75" s="97">
        <f>11.6+10+23.4</f>
        <v>45</v>
      </c>
      <c r="C75" s="97">
        <v>17.8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>
        <v>23.3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23.3</v>
      </c>
      <c r="AG75" s="89">
        <f t="shared" si="16"/>
        <v>39.5</v>
      </c>
      <c r="AI75" s="21"/>
    </row>
    <row r="76" spans="1:35" s="112" customFormat="1" ht="15.75">
      <c r="A76" s="111" t="s">
        <v>48</v>
      </c>
      <c r="B76" s="97">
        <f>185.5</f>
        <v>185.5</v>
      </c>
      <c r="C76" s="97">
        <v>30.599999999999994</v>
      </c>
      <c r="D76" s="72"/>
      <c r="E76" s="80"/>
      <c r="F76" s="80"/>
      <c r="G76" s="80">
        <v>13.9</v>
      </c>
      <c r="H76" s="80"/>
      <c r="I76" s="80"/>
      <c r="J76" s="80"/>
      <c r="K76" s="80"/>
      <c r="L76" s="80"/>
      <c r="M76" s="80">
        <v>60.1</v>
      </c>
      <c r="N76" s="80"/>
      <c r="O76" s="80"/>
      <c r="P76" s="80"/>
      <c r="Q76" s="80"/>
      <c r="R76" s="80"/>
      <c r="S76" s="80"/>
      <c r="T76" s="80"/>
      <c r="U76" s="80"/>
      <c r="V76" s="80">
        <v>109.3</v>
      </c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183.3</v>
      </c>
      <c r="AG76" s="89">
        <f t="shared" si="16"/>
        <v>32.79999999999998</v>
      </c>
      <c r="AI76" s="21"/>
    </row>
    <row r="77" spans="1:35" s="112" customFormat="1" ht="15.75">
      <c r="A77" s="98" t="s">
        <v>5</v>
      </c>
      <c r="B77" s="97">
        <v>132.5</v>
      </c>
      <c r="C77" s="97">
        <v>3.8000000000000114</v>
      </c>
      <c r="D77" s="72"/>
      <c r="E77" s="80"/>
      <c r="F77" s="80"/>
      <c r="G77" s="80">
        <v>5.6</v>
      </c>
      <c r="H77" s="80"/>
      <c r="I77" s="80"/>
      <c r="J77" s="80"/>
      <c r="K77" s="80"/>
      <c r="L77" s="80"/>
      <c r="M77" s="80">
        <v>57.6</v>
      </c>
      <c r="N77" s="80"/>
      <c r="O77" s="80"/>
      <c r="P77" s="80"/>
      <c r="Q77" s="80"/>
      <c r="R77" s="80"/>
      <c r="S77" s="80"/>
      <c r="T77" s="80"/>
      <c r="U77" s="80"/>
      <c r="V77" s="80">
        <f>68.8-2.2</f>
        <v>66.6</v>
      </c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129.8</v>
      </c>
      <c r="AG77" s="89">
        <f t="shared" si="16"/>
        <v>6.5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2.1</v>
      </c>
      <c r="C80" s="97">
        <v>8.500000000000002</v>
      </c>
      <c r="D80" s="72"/>
      <c r="E80" s="80"/>
      <c r="F80" s="80"/>
      <c r="G80" s="80">
        <v>6</v>
      </c>
      <c r="H80" s="80"/>
      <c r="I80" s="80"/>
      <c r="J80" s="80"/>
      <c r="K80" s="80"/>
      <c r="L80" s="80"/>
      <c r="M80" s="80">
        <v>0.1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6.1</v>
      </c>
      <c r="AG80" s="89">
        <f t="shared" si="16"/>
        <v>4.500000000000002</v>
      </c>
      <c r="AI80" s="21"/>
    </row>
    <row r="81" spans="1:35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0</v>
      </c>
      <c r="AG81" s="89">
        <f t="shared" si="16"/>
        <v>0</v>
      </c>
      <c r="AI81" s="2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8" customFormat="1" ht="15.75">
      <c r="A89" s="96" t="s">
        <v>50</v>
      </c>
      <c r="B89" s="97">
        <f>17339.2+3000-1991</f>
        <v>18348.2</v>
      </c>
      <c r="C89" s="97">
        <v>2162.000000000001</v>
      </c>
      <c r="D89" s="72"/>
      <c r="E89" s="72">
        <v>60.3</v>
      </c>
      <c r="F89" s="72"/>
      <c r="G89" s="72">
        <v>794.6</v>
      </c>
      <c r="H89" s="72">
        <v>1729.3</v>
      </c>
      <c r="I89" s="72"/>
      <c r="J89" s="72"/>
      <c r="K89" s="72">
        <v>2357</v>
      </c>
      <c r="L89" s="72">
        <v>1916.4</v>
      </c>
      <c r="M89" s="72">
        <v>610.8</v>
      </c>
      <c r="N89" s="72">
        <v>432.8</v>
      </c>
      <c r="O89" s="72"/>
      <c r="P89" s="72"/>
      <c r="Q89" s="72">
        <v>777.3</v>
      </c>
      <c r="R89" s="72">
        <v>690.7</v>
      </c>
      <c r="S89" s="72">
        <v>110.8</v>
      </c>
      <c r="T89" s="72"/>
      <c r="U89" s="72"/>
      <c r="V89" s="72">
        <v>5866.7</v>
      </c>
      <c r="W89" s="72">
        <f>417-0.4</f>
        <v>416.6</v>
      </c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15763.300000000001</v>
      </c>
      <c r="AG89" s="72">
        <f t="shared" si="16"/>
        <v>4746.9</v>
      </c>
      <c r="AH89" s="112"/>
      <c r="AI89" s="2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</row>
    <row r="2" spans="1:34" s="18" customFormat="1" ht="22.5" customHeight="1">
      <c r="A2" s="141" t="s">
        <v>60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61</v>
      </c>
      <c r="C4" s="119" t="s">
        <v>18</v>
      </c>
      <c r="D4" s="119">
        <v>1</v>
      </c>
      <c r="E4" s="19">
        <v>2</v>
      </c>
      <c r="F4" s="19">
        <v>3</v>
      </c>
      <c r="G4" s="19">
        <v>6</v>
      </c>
      <c r="H4" s="19">
        <v>7</v>
      </c>
      <c r="I4" s="19">
        <v>8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19">
        <v>17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62351.9</v>
      </c>
      <c r="C7" s="86">
        <v>957.1999999999935</v>
      </c>
      <c r="D7" s="122"/>
      <c r="E7" s="39">
        <v>31175.95</v>
      </c>
      <c r="F7" s="39"/>
      <c r="G7" s="39"/>
      <c r="H7" s="124"/>
      <c r="I7" s="125"/>
      <c r="J7" s="39"/>
      <c r="K7" s="39"/>
      <c r="L7" s="39">
        <v>31175.95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C7+E7+L7-AG16-AG25</f>
        <v>9997.099999999995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175251.7</v>
      </c>
      <c r="C8" s="87">
        <v>46010.17824000007</v>
      </c>
      <c r="D8" s="127"/>
      <c r="E8" s="128">
        <v>15900.1</v>
      </c>
      <c r="F8" s="62">
        <v>6112.7</v>
      </c>
      <c r="G8" s="62">
        <v>6641.2</v>
      </c>
      <c r="H8" s="62">
        <v>8176.1</v>
      </c>
      <c r="I8" s="62">
        <v>16323.8</v>
      </c>
      <c r="J8" s="62">
        <v>9464.4</v>
      </c>
      <c r="K8" s="62">
        <v>4428.9</v>
      </c>
      <c r="L8" s="62">
        <v>1596.2</v>
      </c>
      <c r="M8" s="62">
        <v>5121.3</v>
      </c>
      <c r="N8" s="62">
        <v>7635.1</v>
      </c>
      <c r="O8" s="62">
        <v>12409.9</v>
      </c>
      <c r="P8" s="62">
        <v>7138.9</v>
      </c>
      <c r="Q8" s="62">
        <v>8383.7</v>
      </c>
      <c r="R8" s="62">
        <v>9174.8</v>
      </c>
      <c r="S8" s="62">
        <v>6000.8</v>
      </c>
      <c r="T8" s="63">
        <v>6405.7</v>
      </c>
      <c r="U8" s="63">
        <v>4407.4</v>
      </c>
      <c r="V8" s="62">
        <v>4903.4</v>
      </c>
      <c r="W8" s="62">
        <v>4776.1</v>
      </c>
      <c r="X8" s="62">
        <v>4939.7</v>
      </c>
      <c r="Y8" s="62">
        <v>10378.9</v>
      </c>
      <c r="Z8" s="62">
        <v>14932.6</v>
      </c>
      <c r="AA8" s="62"/>
      <c r="AB8" s="62"/>
      <c r="AC8" s="62"/>
      <c r="AD8" s="129"/>
      <c r="AE8" s="129"/>
      <c r="AF8" s="130">
        <f>SUM(D8:AE8)+C8-AG9+AG16+AG25</f>
        <v>51808.37824000011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229019.09999999995</v>
      </c>
      <c r="C9" s="132">
        <f t="shared" si="0"/>
        <v>73688.91483000001</v>
      </c>
      <c r="D9" s="90">
        <f t="shared" si="0"/>
        <v>0</v>
      </c>
      <c r="E9" s="90">
        <f t="shared" si="0"/>
        <v>10633.300000000001</v>
      </c>
      <c r="F9" s="90">
        <f t="shared" si="0"/>
        <v>10038.3</v>
      </c>
      <c r="G9" s="90">
        <f t="shared" si="0"/>
        <v>3756.7</v>
      </c>
      <c r="H9" s="90">
        <f>H10+H15+H24+H33+H47+H52+H54+H61+H62+H71+H72+H88+H76+H81+H83+H82+H69+H89+H90+H91+H70+H40+H92</f>
        <v>3510.4</v>
      </c>
      <c r="I9" s="90">
        <f t="shared" si="0"/>
        <v>5282.1</v>
      </c>
      <c r="J9" s="90">
        <f t="shared" si="0"/>
        <v>13578</v>
      </c>
      <c r="K9" s="90">
        <f t="shared" si="0"/>
        <v>35166.799999999996</v>
      </c>
      <c r="L9" s="90">
        <f t="shared" si="0"/>
        <v>8076.5</v>
      </c>
      <c r="M9" s="90">
        <f t="shared" si="0"/>
        <v>3214</v>
      </c>
      <c r="N9" s="90">
        <f t="shared" si="0"/>
        <v>807.1</v>
      </c>
      <c r="O9" s="90">
        <f t="shared" si="0"/>
        <v>4867.8</v>
      </c>
      <c r="P9" s="90">
        <f t="shared" si="0"/>
        <v>7927.5</v>
      </c>
      <c r="Q9" s="90">
        <f t="shared" si="0"/>
        <v>3407.9</v>
      </c>
      <c r="R9" s="90">
        <f t="shared" si="0"/>
        <v>5663.7</v>
      </c>
      <c r="S9" s="90">
        <f t="shared" si="0"/>
        <v>1038.8</v>
      </c>
      <c r="T9" s="90">
        <f t="shared" si="0"/>
        <v>12953</v>
      </c>
      <c r="U9" s="90">
        <f t="shared" si="0"/>
        <v>3811.3999999999996</v>
      </c>
      <c r="V9" s="90">
        <f t="shared" si="0"/>
        <v>20865.4</v>
      </c>
      <c r="W9" s="90">
        <f t="shared" si="0"/>
        <v>60125.69999999999</v>
      </c>
      <c r="X9" s="90">
        <f t="shared" si="0"/>
        <v>5106.599999999999</v>
      </c>
      <c r="Y9" s="90">
        <f t="shared" si="0"/>
        <v>1040.7</v>
      </c>
      <c r="Z9" s="90">
        <f t="shared" si="0"/>
        <v>1893.8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222765.49999999997</v>
      </c>
      <c r="AH9" s="90">
        <f>AH10+AH15+AH24+AH33+AH47+AH52+AH54+AH61+AH62+AH71+AH72+AH76+AH88+AH81+AH83+AH82+AH69+AH89+AH91+AH90+AH70+AH40+AH92</f>
        <v>79942.51483</v>
      </c>
      <c r="AI9" s="133"/>
      <c r="AJ9" s="133"/>
    </row>
    <row r="10" spans="1:36" s="18" customFormat="1" ht="15.75">
      <c r="A10" s="96" t="s">
        <v>4</v>
      </c>
      <c r="B10" s="97">
        <f>19226.1+35</f>
        <v>19261.1</v>
      </c>
      <c r="C10" s="97">
        <v>4574.100000000002</v>
      </c>
      <c r="D10" s="72"/>
      <c r="E10" s="72">
        <v>443.9</v>
      </c>
      <c r="F10" s="72">
        <v>95.4</v>
      </c>
      <c r="G10" s="72">
        <v>331.1</v>
      </c>
      <c r="H10" s="72">
        <v>76.6</v>
      </c>
      <c r="I10" s="72">
        <v>36.8</v>
      </c>
      <c r="J10" s="72">
        <v>49.5</v>
      </c>
      <c r="K10" s="70">
        <v>1454.8</v>
      </c>
      <c r="L10" s="72">
        <v>2354.1</v>
      </c>
      <c r="M10" s="72">
        <v>2278.3</v>
      </c>
      <c r="N10" s="72">
        <v>13.1</v>
      </c>
      <c r="O10" s="72">
        <v>160.2</v>
      </c>
      <c r="P10" s="72">
        <v>26.9</v>
      </c>
      <c r="Q10" s="72">
        <v>516.5</v>
      </c>
      <c r="R10" s="72">
        <v>1</v>
      </c>
      <c r="S10" s="72">
        <v>19.8</v>
      </c>
      <c r="T10" s="72">
        <v>67.4</v>
      </c>
      <c r="U10" s="72">
        <v>14.6</v>
      </c>
      <c r="V10" s="72">
        <v>1355.2</v>
      </c>
      <c r="W10" s="72">
        <v>3917.1</v>
      </c>
      <c r="X10" s="72">
        <v>4971.5</v>
      </c>
      <c r="Y10" s="72">
        <v>7.7</v>
      </c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18191.500000000004</v>
      </c>
      <c r="AH10" s="72">
        <f>B10+C10-AG10</f>
        <v>5643.699999999997</v>
      </c>
      <c r="AJ10" s="21"/>
    </row>
    <row r="11" spans="1:36" s="18" customFormat="1" ht="15.75">
      <c r="A11" s="98" t="s">
        <v>5</v>
      </c>
      <c r="B11" s="97">
        <v>18077.5</v>
      </c>
      <c r="C11" s="97">
        <v>3442.900000000005</v>
      </c>
      <c r="D11" s="72"/>
      <c r="E11" s="72">
        <v>443.9</v>
      </c>
      <c r="F11" s="72">
        <v>70.3</v>
      </c>
      <c r="G11" s="72">
        <v>10.4</v>
      </c>
      <c r="H11" s="72">
        <v>66.5</v>
      </c>
      <c r="I11" s="72"/>
      <c r="J11" s="72"/>
      <c r="K11" s="72">
        <v>1293</v>
      </c>
      <c r="L11" s="72">
        <v>2348.9</v>
      </c>
      <c r="M11" s="72">
        <v>2098.9</v>
      </c>
      <c r="N11" s="72"/>
      <c r="O11" s="72">
        <v>101.7</v>
      </c>
      <c r="P11" s="72">
        <v>0.4</v>
      </c>
      <c r="Q11" s="72">
        <v>516</v>
      </c>
      <c r="R11" s="72"/>
      <c r="S11" s="72">
        <v>10.8</v>
      </c>
      <c r="T11" s="72"/>
      <c r="U11" s="72"/>
      <c r="V11" s="72">
        <v>1290.2</v>
      </c>
      <c r="W11" s="72">
        <v>3880.2</v>
      </c>
      <c r="X11" s="72">
        <v>4953.9</v>
      </c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17085.1</v>
      </c>
      <c r="AH11" s="72">
        <f>B11+C11-AG11</f>
        <v>4435.300000000007</v>
      </c>
      <c r="AJ11" s="21"/>
    </row>
    <row r="12" spans="1:36" s="18" customFormat="1" ht="15.75">
      <c r="A12" s="98" t="s">
        <v>2</v>
      </c>
      <c r="B12" s="99">
        <f>94.9+60</f>
        <v>154.9</v>
      </c>
      <c r="C12" s="97">
        <v>189.39999999999998</v>
      </c>
      <c r="D12" s="72"/>
      <c r="E12" s="72"/>
      <c r="F12" s="72"/>
      <c r="G12" s="72">
        <f>127.9-10.1</f>
        <v>117.80000000000001</v>
      </c>
      <c r="H12" s="72">
        <v>10</v>
      </c>
      <c r="I12" s="72">
        <v>5.9</v>
      </c>
      <c r="J12" s="72"/>
      <c r="K12" s="72">
        <v>112.5</v>
      </c>
      <c r="L12" s="72"/>
      <c r="M12" s="72">
        <v>3.5</v>
      </c>
      <c r="N12" s="72"/>
      <c r="O12" s="72">
        <v>4.3</v>
      </c>
      <c r="P12" s="72"/>
      <c r="Q12" s="72"/>
      <c r="R12" s="72"/>
      <c r="S12" s="72">
        <v>3</v>
      </c>
      <c r="T12" s="72">
        <v>9.2</v>
      </c>
      <c r="U12" s="72"/>
      <c r="V12" s="72">
        <v>59.4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325.59999999999997</v>
      </c>
      <c r="AH12" s="72">
        <f>B12+C12-AG12</f>
        <v>18.69999999999999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1028.6999999999985</v>
      </c>
      <c r="C14" s="97">
        <v>941.7999999999971</v>
      </c>
      <c r="D14" s="72">
        <f t="shared" si="2"/>
        <v>0</v>
      </c>
      <c r="E14" s="72">
        <f t="shared" si="2"/>
        <v>0</v>
      </c>
      <c r="F14" s="72">
        <f t="shared" si="2"/>
        <v>25.10000000000001</v>
      </c>
      <c r="G14" s="72">
        <f t="shared" si="2"/>
        <v>202.90000000000003</v>
      </c>
      <c r="H14" s="72">
        <f>H10-H11-H12-H13</f>
        <v>0.09999999999999432</v>
      </c>
      <c r="I14" s="72">
        <f t="shared" si="2"/>
        <v>30.9</v>
      </c>
      <c r="J14" s="72">
        <f t="shared" si="2"/>
        <v>49.5</v>
      </c>
      <c r="K14" s="72">
        <f t="shared" si="2"/>
        <v>49.299999999999955</v>
      </c>
      <c r="L14" s="72">
        <f t="shared" si="2"/>
        <v>5.199999999999818</v>
      </c>
      <c r="M14" s="72">
        <f t="shared" si="2"/>
        <v>175.9000000000001</v>
      </c>
      <c r="N14" s="72">
        <f t="shared" si="2"/>
        <v>13.1</v>
      </c>
      <c r="O14" s="72">
        <f t="shared" si="2"/>
        <v>54.19999999999999</v>
      </c>
      <c r="P14" s="72">
        <f t="shared" si="2"/>
        <v>26.5</v>
      </c>
      <c r="Q14" s="72">
        <f t="shared" si="2"/>
        <v>0.5</v>
      </c>
      <c r="R14" s="72">
        <f t="shared" si="2"/>
        <v>1</v>
      </c>
      <c r="S14" s="72">
        <f t="shared" si="2"/>
        <v>6</v>
      </c>
      <c r="T14" s="72">
        <f t="shared" si="2"/>
        <v>58.2</v>
      </c>
      <c r="U14" s="72">
        <f t="shared" si="2"/>
        <v>14.6</v>
      </c>
      <c r="V14" s="72">
        <f t="shared" si="2"/>
        <v>5.600000000000001</v>
      </c>
      <c r="W14" s="72">
        <f t="shared" si="2"/>
        <v>36.90000000000009</v>
      </c>
      <c r="X14" s="72">
        <f t="shared" si="2"/>
        <v>17.600000000000364</v>
      </c>
      <c r="Y14" s="72">
        <f t="shared" si="2"/>
        <v>7.7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780.8000000000004</v>
      </c>
      <c r="AH14" s="72">
        <f>AH10-AH11-AH12-AH13</f>
        <v>1189.6999999999905</v>
      </c>
      <c r="AJ14" s="21"/>
    </row>
    <row r="15" spans="1:36" s="18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0"/>
      <c r="E15" s="100">
        <f>39.5+14.3</f>
        <v>53.8</v>
      </c>
      <c r="F15" s="72"/>
      <c r="G15" s="72">
        <v>1260.1</v>
      </c>
      <c r="H15" s="72">
        <v>405.8</v>
      </c>
      <c r="I15" s="72">
        <v>252.6</v>
      </c>
      <c r="J15" s="72">
        <v>2133.3</v>
      </c>
      <c r="K15" s="72">
        <f>13730.5+10532.6</f>
        <v>24263.1</v>
      </c>
      <c r="L15" s="72">
        <v>1117.8</v>
      </c>
      <c r="M15" s="72">
        <v>436</v>
      </c>
      <c r="N15" s="72">
        <v>409.4</v>
      </c>
      <c r="O15" s="72">
        <v>572.5</v>
      </c>
      <c r="P15" s="72">
        <v>924.7</v>
      </c>
      <c r="Q15" s="72">
        <v>143.2</v>
      </c>
      <c r="R15" s="72">
        <v>762.1</v>
      </c>
      <c r="S15" s="72">
        <v>701</v>
      </c>
      <c r="T15" s="72">
        <v>75.3</v>
      </c>
      <c r="U15" s="72">
        <f>1449.6</f>
        <v>1449.6</v>
      </c>
      <c r="V15" s="72">
        <v>1.5</v>
      </c>
      <c r="W15" s="72">
        <f>26550.1+25726.8</f>
        <v>52276.899999999994</v>
      </c>
      <c r="X15" s="72">
        <v>14.9</v>
      </c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87253.59999999998</v>
      </c>
      <c r="AH15" s="72">
        <f aca="true" t="shared" si="3" ref="AH15:AH31">B15+C15-AG15</f>
        <v>43415.30000000002</v>
      </c>
      <c r="AJ15" s="21"/>
    </row>
    <row r="16" spans="1:36" s="104" customFormat="1" ht="15" customHeight="1">
      <c r="A16" s="101" t="s">
        <v>38</v>
      </c>
      <c r="B16" s="102">
        <v>45313.7</v>
      </c>
      <c r="C16" s="102">
        <v>58.99999999999636</v>
      </c>
      <c r="D16" s="88"/>
      <c r="E16" s="88">
        <v>14.3</v>
      </c>
      <c r="F16" s="76"/>
      <c r="G16" s="76"/>
      <c r="H16" s="76"/>
      <c r="I16" s="76"/>
      <c r="J16" s="76"/>
      <c r="K16" s="76">
        <v>10532.6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v>25726.8</v>
      </c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36273.7</v>
      </c>
      <c r="AH16" s="88">
        <f t="shared" si="3"/>
        <v>9099</v>
      </c>
      <c r="AI16" s="103"/>
      <c r="AJ16" s="21"/>
    </row>
    <row r="17" spans="1:36" s="18" customFormat="1" ht="15.75">
      <c r="A17" s="98" t="s">
        <v>5</v>
      </c>
      <c r="B17" s="97">
        <v>93423.2</v>
      </c>
      <c r="C17" s="97">
        <v>6496.159999999996</v>
      </c>
      <c r="D17" s="72"/>
      <c r="E17" s="72">
        <f>39.5+14.3</f>
        <v>53.8</v>
      </c>
      <c r="F17" s="72"/>
      <c r="G17" s="72"/>
      <c r="H17" s="72"/>
      <c r="I17" s="72"/>
      <c r="J17" s="72"/>
      <c r="K17" s="72">
        <f>10532.6+12547.2</f>
        <v>23079.800000000003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f>25798.9+25726.8</f>
        <v>51525.7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74659.3</v>
      </c>
      <c r="AH17" s="72">
        <f t="shared" si="3"/>
        <v>25260.059999999983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15.100000000000001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0.4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0.4</v>
      </c>
      <c r="AH18" s="72">
        <f t="shared" si="3"/>
        <v>14.700000000000001</v>
      </c>
      <c r="AJ18" s="21"/>
    </row>
    <row r="19" spans="1:36" s="18" customFormat="1" ht="15.75">
      <c r="A19" s="98" t="s">
        <v>1</v>
      </c>
      <c r="B19" s="97">
        <v>5116.3</v>
      </c>
      <c r="C19" s="97">
        <v>2548.5999999999985</v>
      </c>
      <c r="D19" s="72"/>
      <c r="E19" s="72"/>
      <c r="F19" s="72"/>
      <c r="G19" s="72">
        <v>708.8</v>
      </c>
      <c r="H19" s="72">
        <v>214.1</v>
      </c>
      <c r="I19" s="72">
        <v>98</v>
      </c>
      <c r="J19" s="72">
        <v>840.2</v>
      </c>
      <c r="K19" s="72">
        <v>413</v>
      </c>
      <c r="L19" s="72">
        <v>34.3</v>
      </c>
      <c r="M19" s="72">
        <v>314.6</v>
      </c>
      <c r="N19" s="72">
        <v>100.4</v>
      </c>
      <c r="O19" s="72">
        <v>456.8</v>
      </c>
      <c r="P19" s="72">
        <f>441.8-0.1</f>
        <v>441.7</v>
      </c>
      <c r="Q19" s="72"/>
      <c r="R19" s="72">
        <v>78.1</v>
      </c>
      <c r="S19" s="72">
        <f>348.9-0.1</f>
        <v>348.79999999999995</v>
      </c>
      <c r="T19" s="72">
        <v>2.2</v>
      </c>
      <c r="U19" s="72">
        <v>951.6</v>
      </c>
      <c r="V19" s="72">
        <v>1.2</v>
      </c>
      <c r="W19" s="72">
        <v>34.1</v>
      </c>
      <c r="X19" s="72">
        <v>1.7</v>
      </c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5039.6</v>
      </c>
      <c r="AH19" s="72">
        <f t="shared" si="3"/>
        <v>2625.2999999999984</v>
      </c>
      <c r="AJ19" s="21"/>
    </row>
    <row r="20" spans="1:36" s="18" customFormat="1" ht="15.75">
      <c r="A20" s="98" t="s">
        <v>2</v>
      </c>
      <c r="B20" s="97">
        <f>1951.1-6000+4.2</f>
        <v>-4044.7000000000003</v>
      </c>
      <c r="C20" s="97">
        <v>16839.699999999997</v>
      </c>
      <c r="D20" s="72"/>
      <c r="E20" s="72"/>
      <c r="F20" s="72"/>
      <c r="G20" s="72">
        <v>499.3</v>
      </c>
      <c r="H20" s="72">
        <v>189</v>
      </c>
      <c r="I20" s="72">
        <v>105</v>
      </c>
      <c r="J20" s="72">
        <v>924.1</v>
      </c>
      <c r="K20" s="72">
        <v>743.1</v>
      </c>
      <c r="L20" s="72">
        <v>713.2</v>
      </c>
      <c r="M20" s="72">
        <v>2.5</v>
      </c>
      <c r="N20" s="72">
        <v>274</v>
      </c>
      <c r="O20" s="72">
        <v>68.8</v>
      </c>
      <c r="P20" s="72">
        <v>344.9</v>
      </c>
      <c r="Q20" s="72"/>
      <c r="R20" s="72">
        <v>81.5</v>
      </c>
      <c r="S20" s="72">
        <v>43.7</v>
      </c>
      <c r="T20" s="72">
        <v>7.6</v>
      </c>
      <c r="U20" s="72">
        <f>232.5+0.7</f>
        <v>233.2</v>
      </c>
      <c r="V20" s="72"/>
      <c r="W20" s="72">
        <v>455.8</v>
      </c>
      <c r="X20" s="72">
        <v>0.6</v>
      </c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4686.3</v>
      </c>
      <c r="AH20" s="72">
        <f t="shared" si="3"/>
        <v>8108.699999999996</v>
      </c>
      <c r="AJ20" s="21"/>
    </row>
    <row r="21" spans="1:36" s="18" customFormat="1" ht="15.75">
      <c r="A21" s="98" t="s">
        <v>16</v>
      </c>
      <c r="B21" s="97">
        <v>1258.9</v>
      </c>
      <c r="C21" s="97">
        <v>516.6999999999999</v>
      </c>
      <c r="D21" s="72"/>
      <c r="E21" s="72"/>
      <c r="F21" s="72"/>
      <c r="G21" s="72"/>
      <c r="H21" s="72"/>
      <c r="I21" s="72"/>
      <c r="J21" s="72">
        <v>205.8</v>
      </c>
      <c r="K21" s="72"/>
      <c r="L21" s="72"/>
      <c r="M21" s="72"/>
      <c r="N21" s="72">
        <v>21</v>
      </c>
      <c r="O21" s="72"/>
      <c r="P21" s="72"/>
      <c r="Q21" s="72"/>
      <c r="R21" s="72">
        <f>475.1+46.1</f>
        <v>521.2</v>
      </c>
      <c r="S21" s="72">
        <v>265</v>
      </c>
      <c r="T21" s="72">
        <v>1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1014</v>
      </c>
      <c r="AH21" s="72">
        <f t="shared" si="3"/>
        <v>761.5999999999999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51.99999999999994</v>
      </c>
      <c r="H23" s="72">
        <f>H15-H17-H18-H19-H20-H21-H22</f>
        <v>2.700000000000017</v>
      </c>
      <c r="I23" s="72">
        <f t="shared" si="4"/>
        <v>49.599999999999994</v>
      </c>
      <c r="J23" s="72">
        <f t="shared" si="4"/>
        <v>163.2000000000001</v>
      </c>
      <c r="K23" s="72">
        <f t="shared" si="4"/>
        <v>27.19999999999561</v>
      </c>
      <c r="L23" s="72">
        <f t="shared" si="4"/>
        <v>370.29999999999995</v>
      </c>
      <c r="M23" s="72">
        <f t="shared" si="4"/>
        <v>118.89999999999998</v>
      </c>
      <c r="N23" s="72">
        <f t="shared" si="4"/>
        <v>14</v>
      </c>
      <c r="O23" s="72">
        <f t="shared" si="4"/>
        <v>46.89999999999999</v>
      </c>
      <c r="P23" s="72">
        <f t="shared" si="4"/>
        <v>138.10000000000008</v>
      </c>
      <c r="Q23" s="72">
        <f t="shared" si="4"/>
        <v>143.2</v>
      </c>
      <c r="R23" s="72">
        <f t="shared" si="4"/>
        <v>81.29999999999995</v>
      </c>
      <c r="S23" s="72">
        <f t="shared" si="4"/>
        <v>43.50000000000006</v>
      </c>
      <c r="T23" s="72">
        <f t="shared" si="4"/>
        <v>64.5</v>
      </c>
      <c r="U23" s="72">
        <f t="shared" si="4"/>
        <v>264.3999999999998</v>
      </c>
      <c r="V23" s="72">
        <f t="shared" si="4"/>
        <v>0.30000000000000004</v>
      </c>
      <c r="W23" s="72">
        <f t="shared" si="4"/>
        <v>261.29999999999706</v>
      </c>
      <c r="X23" s="72">
        <f t="shared" si="4"/>
        <v>12.600000000000001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1853.9999999999925</v>
      </c>
      <c r="AH23" s="72">
        <f>B23+C23-AG23</f>
        <v>6644.940000000013</v>
      </c>
      <c r="AJ23" s="21"/>
    </row>
    <row r="24" spans="1:36" s="18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72"/>
      <c r="E24" s="72">
        <v>66</v>
      </c>
      <c r="F24" s="72">
        <f>205.9+78.6</f>
        <v>284.5</v>
      </c>
      <c r="G24" s="72">
        <f>84.6+109.2</f>
        <v>193.8</v>
      </c>
      <c r="H24" s="72">
        <v>117.8</v>
      </c>
      <c r="I24" s="72">
        <v>150.5</v>
      </c>
      <c r="J24" s="72">
        <f>1572.9+369.6</f>
        <v>1942.5</v>
      </c>
      <c r="K24" s="72">
        <f>737.8+7895.9</f>
        <v>8633.699999999999</v>
      </c>
      <c r="L24" s="72">
        <v>2034.2</v>
      </c>
      <c r="M24" s="72">
        <v>100.3</v>
      </c>
      <c r="N24" s="72">
        <v>0.9</v>
      </c>
      <c r="O24" s="72"/>
      <c r="P24" s="72">
        <f>1120.8+1222.4</f>
        <v>2343.2</v>
      </c>
      <c r="Q24" s="72">
        <v>4</v>
      </c>
      <c r="R24" s="72">
        <v>8.9</v>
      </c>
      <c r="S24" s="72">
        <v>180.1</v>
      </c>
      <c r="T24" s="72"/>
      <c r="U24" s="72">
        <f>515.8+1219.3</f>
        <v>1735.1</v>
      </c>
      <c r="V24" s="72">
        <f>11997.9+4043.1</f>
        <v>16041</v>
      </c>
      <c r="W24" s="72">
        <f>0.1</f>
        <v>0.1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33836.6</v>
      </c>
      <c r="AH24" s="72">
        <f t="shared" si="3"/>
        <v>15127.600000000006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99.79999999999927</v>
      </c>
      <c r="D25" s="76"/>
      <c r="E25" s="76">
        <v>66</v>
      </c>
      <c r="F25" s="76">
        <v>78.6</v>
      </c>
      <c r="G25" s="76">
        <v>109.2</v>
      </c>
      <c r="H25" s="76"/>
      <c r="I25" s="76"/>
      <c r="J25" s="76">
        <v>369.6</v>
      </c>
      <c r="K25" s="76">
        <v>7895.9</v>
      </c>
      <c r="L25" s="76">
        <v>2034.2</v>
      </c>
      <c r="M25" s="76"/>
      <c r="N25" s="76"/>
      <c r="O25" s="76"/>
      <c r="P25" s="76">
        <v>1222.4</v>
      </c>
      <c r="Q25" s="76"/>
      <c r="R25" s="76"/>
      <c r="S25" s="76"/>
      <c r="T25" s="76"/>
      <c r="U25" s="76">
        <v>1219.3</v>
      </c>
      <c r="V25" s="76">
        <v>4043.1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17038.3</v>
      </c>
      <c r="AH25" s="88">
        <f t="shared" si="3"/>
        <v>199.40000000000146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73.30000000000001</v>
      </c>
      <c r="D30" s="72"/>
      <c r="E30" s="72"/>
      <c r="F30" s="72"/>
      <c r="G30" s="72"/>
      <c r="H30" s="72"/>
      <c r="I30" s="72"/>
      <c r="J30" s="72"/>
      <c r="K30" s="72"/>
      <c r="L30" s="72"/>
      <c r="M30" s="72">
        <v>100.3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100.3</v>
      </c>
      <c r="AH30" s="72">
        <f t="shared" si="3"/>
        <v>63.90000000000002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34827.2</v>
      </c>
      <c r="C32" s="97">
        <v>13972.800000000007</v>
      </c>
      <c r="D32" s="72">
        <f aca="true" t="shared" si="5" ref="D32:AE32">D24-D26-D27-D28-D29-D30-D31</f>
        <v>0</v>
      </c>
      <c r="E32" s="72">
        <f t="shared" si="5"/>
        <v>66</v>
      </c>
      <c r="F32" s="72">
        <f t="shared" si="5"/>
        <v>284.5</v>
      </c>
      <c r="G32" s="72">
        <f t="shared" si="5"/>
        <v>193.8</v>
      </c>
      <c r="H32" s="72">
        <f>H24-H26-H27-H28-H29-H30-H31</f>
        <v>117.8</v>
      </c>
      <c r="I32" s="72">
        <f t="shared" si="5"/>
        <v>150.5</v>
      </c>
      <c r="J32" s="72">
        <f t="shared" si="5"/>
        <v>1942.5</v>
      </c>
      <c r="K32" s="72">
        <f t="shared" si="5"/>
        <v>8633.699999999999</v>
      </c>
      <c r="L32" s="72">
        <f t="shared" si="5"/>
        <v>2034.2</v>
      </c>
      <c r="M32" s="72">
        <f t="shared" si="5"/>
        <v>0</v>
      </c>
      <c r="N32" s="72">
        <f t="shared" si="5"/>
        <v>0.9</v>
      </c>
      <c r="O32" s="72">
        <f t="shared" si="5"/>
        <v>0</v>
      </c>
      <c r="P32" s="72">
        <f t="shared" si="5"/>
        <v>2343.2</v>
      </c>
      <c r="Q32" s="72">
        <f t="shared" si="5"/>
        <v>4</v>
      </c>
      <c r="R32" s="72">
        <f t="shared" si="5"/>
        <v>8.9</v>
      </c>
      <c r="S32" s="72">
        <f t="shared" si="5"/>
        <v>180.1</v>
      </c>
      <c r="T32" s="72">
        <f t="shared" si="5"/>
        <v>0</v>
      </c>
      <c r="U32" s="72">
        <f t="shared" si="5"/>
        <v>1735.1</v>
      </c>
      <c r="V32" s="72">
        <f t="shared" si="5"/>
        <v>16041</v>
      </c>
      <c r="W32" s="72">
        <f t="shared" si="5"/>
        <v>0.1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33736.299999999996</v>
      </c>
      <c r="AH32" s="72">
        <f>AH24-AH30</f>
        <v>15063.700000000006</v>
      </c>
      <c r="AJ32" s="21"/>
    </row>
    <row r="33" spans="1:36" s="18" customFormat="1" ht="15" customHeight="1">
      <c r="A33" s="96" t="s">
        <v>8</v>
      </c>
      <c r="B33" s="97">
        <v>860.3</v>
      </c>
      <c r="C33" s="97">
        <v>170.80000000000018</v>
      </c>
      <c r="D33" s="72"/>
      <c r="E33" s="72"/>
      <c r="F33" s="72"/>
      <c r="G33" s="72"/>
      <c r="H33" s="72"/>
      <c r="I33" s="72"/>
      <c r="J33" s="72"/>
      <c r="K33" s="72">
        <v>49.5</v>
      </c>
      <c r="L33" s="72">
        <v>49.3</v>
      </c>
      <c r="M33" s="72"/>
      <c r="N33" s="72"/>
      <c r="O33" s="72"/>
      <c r="P33" s="72"/>
      <c r="Q33" s="72">
        <v>61.5</v>
      </c>
      <c r="R33" s="72"/>
      <c r="S33" s="72"/>
      <c r="T33" s="72"/>
      <c r="U33" s="72"/>
      <c r="V33" s="72"/>
      <c r="W33" s="72">
        <v>235.8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396.1</v>
      </c>
      <c r="AH33" s="72">
        <f aca="true" t="shared" si="6" ref="AH33:AH38">B33+C33-AG33</f>
        <v>635.0000000000001</v>
      </c>
      <c r="AJ33" s="21"/>
    </row>
    <row r="34" spans="1:36" s="18" customFormat="1" ht="15.75">
      <c r="A34" s="98" t="s">
        <v>5</v>
      </c>
      <c r="B34" s="97">
        <f>309-0.1</f>
        <v>308.9</v>
      </c>
      <c r="C34" s="97">
        <v>12.800000000000011</v>
      </c>
      <c r="D34" s="72"/>
      <c r="E34" s="72"/>
      <c r="F34" s="72"/>
      <c r="G34" s="72"/>
      <c r="H34" s="72"/>
      <c r="I34" s="72"/>
      <c r="J34" s="72"/>
      <c r="K34" s="72">
        <v>49.5</v>
      </c>
      <c r="L34" s="72">
        <v>34.4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v>208.9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292.8</v>
      </c>
      <c r="AH34" s="72">
        <f t="shared" si="6"/>
        <v>28.899999999999977</v>
      </c>
      <c r="AJ34" s="21"/>
    </row>
    <row r="35" spans="1:36" s="18" customFormat="1" ht="15.75">
      <c r="A35" s="98" t="s">
        <v>1</v>
      </c>
      <c r="B35" s="97">
        <v>420</v>
      </c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f>12.6-0.1</f>
        <v>12.5</v>
      </c>
      <c r="C36" s="97">
        <v>78.4</v>
      </c>
      <c r="D36" s="72"/>
      <c r="E36" s="72"/>
      <c r="F36" s="72"/>
      <c r="G36" s="72"/>
      <c r="H36" s="72"/>
      <c r="I36" s="72"/>
      <c r="J36" s="72"/>
      <c r="K36" s="72"/>
      <c r="L36" s="72">
        <v>13.9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>
        <v>3.1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17</v>
      </c>
      <c r="AH36" s="72">
        <f t="shared" si="6"/>
        <v>73.9</v>
      </c>
      <c r="AJ36" s="21"/>
    </row>
    <row r="37" spans="1:36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0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0.9999999999999982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61.5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23.800000000000004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86.30000000000001</v>
      </c>
      <c r="AH39" s="72">
        <f>AH33-AH34-AH36-AH38-AH35-AH37</f>
        <v>112.20000000000016</v>
      </c>
      <c r="AJ39" s="21"/>
    </row>
    <row r="40" spans="1:36" s="18" customFormat="1" ht="15" customHeight="1">
      <c r="A40" s="96" t="s">
        <v>29</v>
      </c>
      <c r="B40" s="97">
        <v>1395.3</v>
      </c>
      <c r="C40" s="97">
        <v>312.10000000000036</v>
      </c>
      <c r="D40" s="72"/>
      <c r="E40" s="72"/>
      <c r="F40" s="72"/>
      <c r="G40" s="72"/>
      <c r="H40" s="72"/>
      <c r="I40" s="72">
        <v>402.3</v>
      </c>
      <c r="J40" s="72">
        <v>20.1</v>
      </c>
      <c r="K40" s="72"/>
      <c r="L40" s="72"/>
      <c r="M40" s="72">
        <v>0.2</v>
      </c>
      <c r="N40" s="72">
        <v>4.4</v>
      </c>
      <c r="O40" s="72">
        <v>30.8</v>
      </c>
      <c r="P40" s="72"/>
      <c r="Q40" s="72"/>
      <c r="R40" s="72"/>
      <c r="S40" s="72"/>
      <c r="T40" s="72"/>
      <c r="U40" s="72"/>
      <c r="V40" s="72">
        <v>63.8</v>
      </c>
      <c r="W40" s="72">
        <v>859.4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1381</v>
      </c>
      <c r="AH40" s="72">
        <f aca="true" t="shared" si="8" ref="AH40:AH45">B40+C40-AG40</f>
        <v>326.4000000000003</v>
      </c>
      <c r="AJ40" s="21"/>
    </row>
    <row r="41" spans="1:36" s="18" customFormat="1" ht="15.75">
      <c r="A41" s="98" t="s">
        <v>5</v>
      </c>
      <c r="B41" s="97">
        <f>1276.6-0.2</f>
        <v>1276.3999999999999</v>
      </c>
      <c r="C41" s="97">
        <v>125.59999999999991</v>
      </c>
      <c r="D41" s="72"/>
      <c r="E41" s="72"/>
      <c r="F41" s="72"/>
      <c r="G41" s="72"/>
      <c r="H41" s="72"/>
      <c r="I41" s="72">
        <v>383.6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7</v>
      </c>
      <c r="W41" s="72">
        <v>859.2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1249.8000000000002</v>
      </c>
      <c r="AH41" s="72">
        <f t="shared" si="8"/>
        <v>152.1999999999996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2.5000000000000018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9.5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9.5</v>
      </c>
      <c r="AH43" s="72">
        <f t="shared" si="8"/>
        <v>3.8000000000000025</v>
      </c>
      <c r="AJ43" s="21"/>
    </row>
    <row r="44" spans="1:36" s="18" customFormat="1" ht="15.75">
      <c r="A44" s="98" t="s">
        <v>2</v>
      </c>
      <c r="B44" s="97">
        <v>74.9</v>
      </c>
      <c r="C44" s="97">
        <v>174.30000000000004</v>
      </c>
      <c r="D44" s="72"/>
      <c r="E44" s="72"/>
      <c r="F44" s="72"/>
      <c r="G44" s="72"/>
      <c r="H44" s="72"/>
      <c r="I44" s="72">
        <v>11.6</v>
      </c>
      <c r="J44" s="72">
        <v>20.1</v>
      </c>
      <c r="K44" s="72"/>
      <c r="L44" s="72"/>
      <c r="M44" s="72">
        <v>0.2</v>
      </c>
      <c r="N44" s="72"/>
      <c r="O44" s="72"/>
      <c r="P44" s="72"/>
      <c r="Q44" s="72"/>
      <c r="R44" s="72"/>
      <c r="S44" s="72"/>
      <c r="T44" s="72"/>
      <c r="U44" s="72"/>
      <c r="V44" s="72">
        <v>56.8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88.7</v>
      </c>
      <c r="AH44" s="72">
        <f t="shared" si="8"/>
        <v>160.50000000000006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33.20000000000009</v>
      </c>
      <c r="C46" s="97">
        <v>8.80000000000041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>H40-H41-H42-H43-H44-H45</f>
        <v>0</v>
      </c>
      <c r="I46" s="72">
        <f t="shared" si="9"/>
        <v>7.099999999999989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0</v>
      </c>
      <c r="N46" s="72">
        <f t="shared" si="9"/>
        <v>4.4</v>
      </c>
      <c r="O46" s="72">
        <f t="shared" si="9"/>
        <v>21.3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0.1999999999999318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32.99999999999992</v>
      </c>
      <c r="AH46" s="72">
        <f>AH40-AH41-AH42-AH43-AH44-AH45</f>
        <v>9.000000000000654</v>
      </c>
      <c r="AJ46" s="21"/>
    </row>
    <row r="47" spans="1:36" s="18" customFormat="1" ht="17.25" customHeight="1">
      <c r="A47" s="96" t="s">
        <v>43</v>
      </c>
      <c r="B47" s="99">
        <f>6656.1-61.7-2400</f>
        <v>4194.400000000001</v>
      </c>
      <c r="C47" s="97">
        <f>3586.9+100</f>
        <v>3686.9</v>
      </c>
      <c r="D47" s="72"/>
      <c r="E47" s="80">
        <v>0</v>
      </c>
      <c r="F47" s="80">
        <v>11</v>
      </c>
      <c r="G47" s="80">
        <v>256</v>
      </c>
      <c r="H47" s="80">
        <v>1932.3</v>
      </c>
      <c r="I47" s="80">
        <v>55.7</v>
      </c>
      <c r="J47" s="80">
        <v>89.6</v>
      </c>
      <c r="K47" s="80"/>
      <c r="L47" s="80">
        <v>226.4</v>
      </c>
      <c r="M47" s="80">
        <v>270.6</v>
      </c>
      <c r="N47" s="80">
        <v>59.6</v>
      </c>
      <c r="O47" s="80">
        <v>10</v>
      </c>
      <c r="P47" s="80">
        <v>1805.8</v>
      </c>
      <c r="Q47" s="80">
        <v>11.7</v>
      </c>
      <c r="R47" s="80">
        <v>1.4</v>
      </c>
      <c r="S47" s="80">
        <v>98.5</v>
      </c>
      <c r="T47" s="80">
        <v>184.6</v>
      </c>
      <c r="U47" s="80">
        <v>37.9</v>
      </c>
      <c r="V47" s="80">
        <v>396.2</v>
      </c>
      <c r="W47" s="80">
        <v>274.1</v>
      </c>
      <c r="X47" s="80">
        <v>56.2</v>
      </c>
      <c r="Y47" s="80">
        <v>2</v>
      </c>
      <c r="Z47" s="80"/>
      <c r="AA47" s="80"/>
      <c r="AB47" s="80"/>
      <c r="AC47" s="80"/>
      <c r="AD47" s="80"/>
      <c r="AE47" s="80"/>
      <c r="AF47" s="80"/>
      <c r="AG47" s="72">
        <f t="shared" si="1"/>
        <v>5779.599999999999</v>
      </c>
      <c r="AH47" s="72">
        <f>B47+C47-AG47</f>
        <v>2101.7000000000016</v>
      </c>
      <c r="AJ47" s="21"/>
    </row>
    <row r="48" spans="1:36" s="18" customFormat="1" ht="15.75">
      <c r="A48" s="98" t="s">
        <v>5</v>
      </c>
      <c r="B48" s="97">
        <f>1640-B34-B41-0.4</f>
        <v>54.30000000000005</v>
      </c>
      <c r="C48" s="97">
        <v>89.5</v>
      </c>
      <c r="D48" s="72"/>
      <c r="E48" s="80"/>
      <c r="F48" s="80"/>
      <c r="G48" s="80"/>
      <c r="H48" s="80"/>
      <c r="I48" s="80"/>
      <c r="J48" s="80"/>
      <c r="K48" s="80"/>
      <c r="L48" s="80">
        <v>40.4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6</v>
      </c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46.4</v>
      </c>
      <c r="AH48" s="72">
        <f>B48+C48-AG48</f>
        <v>97.40000000000003</v>
      </c>
      <c r="AJ48" s="21"/>
    </row>
    <row r="49" spans="1:36" s="18" customFormat="1" ht="15.75">
      <c r="A49" s="98" t="s">
        <v>16</v>
      </c>
      <c r="B49" s="97">
        <f>5749.5-0.2-61.7-1500</f>
        <v>4187.6</v>
      </c>
      <c r="C49" s="97">
        <v>1910.300000000001</v>
      </c>
      <c r="D49" s="72"/>
      <c r="E49" s="72"/>
      <c r="F49" s="72"/>
      <c r="G49" s="72">
        <v>235.8</v>
      </c>
      <c r="H49" s="72">
        <v>1919</v>
      </c>
      <c r="I49" s="72">
        <v>31.6</v>
      </c>
      <c r="J49" s="72"/>
      <c r="K49" s="72"/>
      <c r="L49" s="72">
        <v>186</v>
      </c>
      <c r="M49" s="72">
        <v>56.4</v>
      </c>
      <c r="N49" s="72">
        <v>59.6</v>
      </c>
      <c r="O49" s="72">
        <v>10</v>
      </c>
      <c r="P49" s="72">
        <v>1790.4</v>
      </c>
      <c r="Q49" s="72">
        <v>11.7</v>
      </c>
      <c r="R49" s="72">
        <v>1.4</v>
      </c>
      <c r="S49" s="72">
        <v>98.5</v>
      </c>
      <c r="T49" s="72">
        <v>100</v>
      </c>
      <c r="U49" s="72"/>
      <c r="V49" s="72">
        <f>37.4+50</f>
        <v>87.4</v>
      </c>
      <c r="W49" s="72">
        <f>5.4+174+11</f>
        <v>190.4</v>
      </c>
      <c r="X49" s="72">
        <v>50.2</v>
      </c>
      <c r="Y49" s="72">
        <v>2</v>
      </c>
      <c r="Z49" s="72"/>
      <c r="AA49" s="72"/>
      <c r="AB49" s="72"/>
      <c r="AC49" s="72"/>
      <c r="AD49" s="72"/>
      <c r="AE49" s="72"/>
      <c r="AF49" s="72"/>
      <c r="AG49" s="72">
        <f t="shared" si="1"/>
        <v>4830.399999999999</v>
      </c>
      <c r="AH49" s="72">
        <f>B49+C49-AG49</f>
        <v>1267.5000000000027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-47.5</v>
      </c>
      <c r="C51" s="97">
        <v>1587.1000000000013</v>
      </c>
      <c r="D51" s="72">
        <f t="shared" si="10"/>
        <v>0</v>
      </c>
      <c r="E51" s="72">
        <f t="shared" si="10"/>
        <v>0</v>
      </c>
      <c r="F51" s="72">
        <f t="shared" si="10"/>
        <v>11</v>
      </c>
      <c r="G51" s="72">
        <f t="shared" si="10"/>
        <v>20.19999999999999</v>
      </c>
      <c r="H51" s="72">
        <f>H47-H48-H49</f>
        <v>13.299999999999955</v>
      </c>
      <c r="I51" s="72">
        <f t="shared" si="10"/>
        <v>24.1</v>
      </c>
      <c r="J51" s="72">
        <f t="shared" si="10"/>
        <v>89.6</v>
      </c>
      <c r="K51" s="72">
        <f t="shared" si="10"/>
        <v>0</v>
      </c>
      <c r="L51" s="72">
        <f t="shared" si="10"/>
        <v>0</v>
      </c>
      <c r="M51" s="72">
        <f t="shared" si="10"/>
        <v>214.20000000000002</v>
      </c>
      <c r="N51" s="72">
        <f t="shared" si="10"/>
        <v>0</v>
      </c>
      <c r="O51" s="72">
        <f t="shared" si="10"/>
        <v>0</v>
      </c>
      <c r="P51" s="72">
        <f t="shared" si="10"/>
        <v>15.399999999999864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84.6</v>
      </c>
      <c r="U51" s="72">
        <f t="shared" si="10"/>
        <v>37.9</v>
      </c>
      <c r="V51" s="72">
        <f t="shared" si="10"/>
        <v>308.79999999999995</v>
      </c>
      <c r="W51" s="72">
        <f t="shared" si="10"/>
        <v>83.70000000000002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902.7999999999998</v>
      </c>
      <c r="AH51" s="72">
        <f>AH47-AH49-AH48</f>
        <v>736.7999999999988</v>
      </c>
      <c r="AJ51" s="21"/>
    </row>
    <row r="52" spans="1:36" s="18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72"/>
      <c r="E52" s="72">
        <v>0</v>
      </c>
      <c r="F52" s="72">
        <v>1033.7</v>
      </c>
      <c r="G52" s="72">
        <v>299</v>
      </c>
      <c r="H52" s="72">
        <v>788.3</v>
      </c>
      <c r="I52" s="72">
        <v>504</v>
      </c>
      <c r="J52" s="72">
        <v>976.5</v>
      </c>
      <c r="K52" s="72">
        <v>145.6</v>
      </c>
      <c r="L52" s="72">
        <v>720.1</v>
      </c>
      <c r="M52" s="72">
        <v>36.3</v>
      </c>
      <c r="N52" s="72">
        <v>55.7</v>
      </c>
      <c r="O52" s="72"/>
      <c r="P52" s="72">
        <v>1776.3</v>
      </c>
      <c r="Q52" s="72">
        <v>7.4</v>
      </c>
      <c r="R52" s="72">
        <v>3</v>
      </c>
      <c r="S52" s="72"/>
      <c r="T52" s="72">
        <v>1416.6</v>
      </c>
      <c r="U52" s="72"/>
      <c r="V52" s="72">
        <v>988.8</v>
      </c>
      <c r="W52" s="72">
        <v>825.3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9576.599999999999</v>
      </c>
      <c r="AH52" s="72">
        <f aca="true" t="shared" si="11" ref="AH52:AH59">B52+C52-AG52</f>
        <v>2021.4999999999964</v>
      </c>
      <c r="AJ52" s="21"/>
    </row>
    <row r="53" spans="1:36" s="18" customFormat="1" ht="15" customHeight="1">
      <c r="A53" s="98" t="s">
        <v>2</v>
      </c>
      <c r="B53" s="97">
        <f>1178.5-600</f>
        <v>578.5</v>
      </c>
      <c r="C53" s="97">
        <v>1234.2999999999997</v>
      </c>
      <c r="D53" s="72"/>
      <c r="E53" s="72">
        <v>0</v>
      </c>
      <c r="F53" s="72">
        <v>1033.7</v>
      </c>
      <c r="G53" s="72"/>
      <c r="H53" s="72"/>
      <c r="I53" s="72"/>
      <c r="J53" s="72">
        <v>0.3</v>
      </c>
      <c r="K53" s="72"/>
      <c r="L53" s="72">
        <v>164.7</v>
      </c>
      <c r="M53" s="72"/>
      <c r="N53" s="72"/>
      <c r="O53" s="72"/>
      <c r="P53" s="72"/>
      <c r="Q53" s="72"/>
      <c r="R53" s="72"/>
      <c r="S53" s="72"/>
      <c r="T53" s="72">
        <v>461.5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1660.2</v>
      </c>
      <c r="AH53" s="72">
        <f t="shared" si="11"/>
        <v>152.59999999999968</v>
      </c>
      <c r="AJ53" s="21"/>
    </row>
    <row r="54" spans="1:36" s="18" customFormat="1" ht="15" customHeight="1">
      <c r="A54" s="96" t="s">
        <v>9</v>
      </c>
      <c r="B54" s="105">
        <v>2621.8</v>
      </c>
      <c r="C54" s="97">
        <v>946.4999999999995</v>
      </c>
      <c r="D54" s="72"/>
      <c r="E54" s="72"/>
      <c r="F54" s="72">
        <v>185.8</v>
      </c>
      <c r="G54" s="72"/>
      <c r="H54" s="72">
        <v>167.7</v>
      </c>
      <c r="I54" s="72">
        <v>21.7</v>
      </c>
      <c r="J54" s="72"/>
      <c r="K54" s="72">
        <v>135.6</v>
      </c>
      <c r="L54" s="72">
        <v>509</v>
      </c>
      <c r="M54" s="72">
        <v>5.2</v>
      </c>
      <c r="N54" s="72">
        <v>212.9</v>
      </c>
      <c r="O54" s="72"/>
      <c r="P54" s="72">
        <v>78.3</v>
      </c>
      <c r="Q54" s="72"/>
      <c r="R54" s="72">
        <v>42</v>
      </c>
      <c r="S54" s="72">
        <v>36.8</v>
      </c>
      <c r="T54" s="72"/>
      <c r="U54" s="72">
        <v>20.7</v>
      </c>
      <c r="V54" s="72">
        <v>245.8</v>
      </c>
      <c r="W54" s="72">
        <v>658.7</v>
      </c>
      <c r="X54" s="72">
        <v>30.6</v>
      </c>
      <c r="Y54" s="72"/>
      <c r="Z54" s="72">
        <v>7</v>
      </c>
      <c r="AA54" s="72"/>
      <c r="AB54" s="72"/>
      <c r="AC54" s="72"/>
      <c r="AD54" s="72"/>
      <c r="AE54" s="72"/>
      <c r="AF54" s="72"/>
      <c r="AG54" s="72">
        <f t="shared" si="1"/>
        <v>2357.7999999999997</v>
      </c>
      <c r="AH54" s="72">
        <f t="shared" si="11"/>
        <v>1210.5</v>
      </c>
      <c r="AI54" s="21"/>
      <c r="AJ54" s="21"/>
    </row>
    <row r="55" spans="1:36" s="18" customFormat="1" ht="15.75">
      <c r="A55" s="98" t="s">
        <v>5</v>
      </c>
      <c r="B55" s="97">
        <f>1249-0.1</f>
        <v>1248.9</v>
      </c>
      <c r="C55" s="97">
        <v>285.39999999999986</v>
      </c>
      <c r="D55" s="72"/>
      <c r="E55" s="72"/>
      <c r="F55" s="72"/>
      <c r="G55" s="72"/>
      <c r="H55" s="72"/>
      <c r="I55" s="72">
        <v>14.3</v>
      </c>
      <c r="J55" s="72"/>
      <c r="K55" s="72">
        <v>100.6</v>
      </c>
      <c r="L55" s="72">
        <v>400.5</v>
      </c>
      <c r="M55" s="72"/>
      <c r="N55" s="72"/>
      <c r="O55" s="72"/>
      <c r="P55" s="72"/>
      <c r="Q55" s="72"/>
      <c r="R55" s="72"/>
      <c r="S55" s="72"/>
      <c r="T55" s="72"/>
      <c r="U55" s="72"/>
      <c r="V55" s="72">
        <v>180.4</v>
      </c>
      <c r="W55" s="72">
        <v>615.1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1310.9</v>
      </c>
      <c r="AH55" s="72">
        <f t="shared" si="11"/>
        <v>223.39999999999986</v>
      </c>
      <c r="AI55" s="21"/>
      <c r="AJ55" s="21"/>
    </row>
    <row r="56" spans="1:36" s="18" customFormat="1" ht="15" customHeight="1">
      <c r="A56" s="98" t="s">
        <v>1</v>
      </c>
      <c r="B56" s="97">
        <f>27.5+2.6</f>
        <v>30.1</v>
      </c>
      <c r="C56" s="97">
        <v>0</v>
      </c>
      <c r="D56" s="72"/>
      <c r="E56" s="72"/>
      <c r="F56" s="72"/>
      <c r="G56" s="72"/>
      <c r="H56" s="72"/>
      <c r="I56" s="72"/>
      <c r="J56" s="72"/>
      <c r="K56" s="72">
        <v>26.2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>
        <v>3.9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30.099999999999998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20.4</v>
      </c>
      <c r="C57" s="97">
        <v>265.99999999999994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12.2</v>
      </c>
      <c r="S57" s="72">
        <v>25.8</v>
      </c>
      <c r="T57" s="72"/>
      <c r="U57" s="72"/>
      <c r="V57" s="72">
        <v>7.1</v>
      </c>
      <c r="W57" s="72">
        <v>2.1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47.2</v>
      </c>
      <c r="AH57" s="72">
        <f t="shared" si="11"/>
        <v>239.19999999999993</v>
      </c>
      <c r="AJ57" s="21"/>
    </row>
    <row r="58" spans="1:36" s="18" customFormat="1" ht="15.75">
      <c r="A58" s="98" t="s">
        <v>16</v>
      </c>
      <c r="B58" s="99">
        <f>36.8-7</f>
        <v>29.799999999999997</v>
      </c>
      <c r="C58" s="97">
        <v>25.699999999999996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55.49999999999999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167.7</v>
      </c>
      <c r="I60" s="72">
        <f t="shared" si="12"/>
        <v>7.399999999999999</v>
      </c>
      <c r="J60" s="72">
        <f t="shared" si="12"/>
        <v>0</v>
      </c>
      <c r="K60" s="72">
        <f t="shared" si="12"/>
        <v>8.8</v>
      </c>
      <c r="L60" s="72">
        <f t="shared" si="12"/>
        <v>108.5</v>
      </c>
      <c r="M60" s="72">
        <f t="shared" si="12"/>
        <v>5.2</v>
      </c>
      <c r="N60" s="72">
        <f t="shared" si="12"/>
        <v>212.9</v>
      </c>
      <c r="O60" s="72">
        <f t="shared" si="12"/>
        <v>0</v>
      </c>
      <c r="P60" s="72">
        <f t="shared" si="12"/>
        <v>78.3</v>
      </c>
      <c r="Q60" s="72">
        <f t="shared" si="12"/>
        <v>0</v>
      </c>
      <c r="R60" s="72">
        <f t="shared" si="12"/>
        <v>29.8</v>
      </c>
      <c r="S60" s="72">
        <f t="shared" si="12"/>
        <v>10.999999999999996</v>
      </c>
      <c r="T60" s="72">
        <f t="shared" si="12"/>
        <v>0</v>
      </c>
      <c r="U60" s="72">
        <f t="shared" si="12"/>
        <v>20.7</v>
      </c>
      <c r="V60" s="72">
        <f t="shared" si="12"/>
        <v>54.400000000000006</v>
      </c>
      <c r="W60" s="72">
        <f t="shared" si="12"/>
        <v>41.50000000000002</v>
      </c>
      <c r="X60" s="72">
        <f t="shared" si="12"/>
        <v>30.6</v>
      </c>
      <c r="Y60" s="72">
        <f t="shared" si="12"/>
        <v>0</v>
      </c>
      <c r="Z60" s="72">
        <f t="shared" si="12"/>
        <v>7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969.5999999999996</v>
      </c>
      <c r="AH60" s="72">
        <f>AH54-AH55-AH57-AH59-AH56-AH58</f>
        <v>692.4000000000002</v>
      </c>
      <c r="AJ60" s="21"/>
    </row>
    <row r="61" spans="1:36" s="18" customFormat="1" ht="15" customHeight="1">
      <c r="A61" s="96" t="s">
        <v>10</v>
      </c>
      <c r="B61" s="97">
        <v>88.9</v>
      </c>
      <c r="C61" s="97">
        <v>59.8</v>
      </c>
      <c r="D61" s="72"/>
      <c r="E61" s="72"/>
      <c r="F61" s="72"/>
      <c r="G61" s="72"/>
      <c r="H61" s="72"/>
      <c r="I61" s="72">
        <v>10</v>
      </c>
      <c r="J61" s="72"/>
      <c r="K61" s="72"/>
      <c r="L61" s="72">
        <v>10.1</v>
      </c>
      <c r="M61" s="72">
        <v>18.6</v>
      </c>
      <c r="N61" s="72"/>
      <c r="O61" s="72"/>
      <c r="P61" s="72"/>
      <c r="Q61" s="72">
        <v>9</v>
      </c>
      <c r="R61" s="72">
        <v>50.3</v>
      </c>
      <c r="S61" s="72"/>
      <c r="T61" s="72">
        <v>7</v>
      </c>
      <c r="U61" s="72">
        <v>2</v>
      </c>
      <c r="V61" s="72"/>
      <c r="W61" s="72"/>
      <c r="X61" s="72">
        <v>8</v>
      </c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115</v>
      </c>
      <c r="AH61" s="72">
        <f aca="true" t="shared" si="14" ref="AH61:AH67">B61+C61-AG61</f>
        <v>33.69999999999999</v>
      </c>
      <c r="AJ61" s="21"/>
    </row>
    <row r="62" spans="1:36" s="18" customFormat="1" ht="15" customHeight="1">
      <c r="A62" s="96" t="s">
        <v>11</v>
      </c>
      <c r="B62" s="97">
        <f>4807.6-0.1</f>
        <v>4807.5</v>
      </c>
      <c r="C62" s="97">
        <v>4831.4</v>
      </c>
      <c r="D62" s="72"/>
      <c r="E62" s="72"/>
      <c r="F62" s="72"/>
      <c r="G62" s="72">
        <f>111.2+0.9</f>
        <v>112.10000000000001</v>
      </c>
      <c r="H62" s="72"/>
      <c r="I62" s="72">
        <v>17.3</v>
      </c>
      <c r="J62" s="72">
        <v>739.5</v>
      </c>
      <c r="K62" s="72">
        <v>444.4</v>
      </c>
      <c r="L62" s="72">
        <v>20.9</v>
      </c>
      <c r="M62" s="72">
        <v>23.9</v>
      </c>
      <c r="N62" s="72"/>
      <c r="O62" s="72"/>
      <c r="P62" s="72">
        <v>170.6</v>
      </c>
      <c r="Q62" s="72">
        <v>0.2</v>
      </c>
      <c r="R62" s="72"/>
      <c r="S62" s="72">
        <v>2.6</v>
      </c>
      <c r="T62" s="72">
        <v>429.3</v>
      </c>
      <c r="U62" s="72"/>
      <c r="V62" s="72">
        <v>1723.7</v>
      </c>
      <c r="W62" s="72">
        <f>269.1-0.2</f>
        <v>268.90000000000003</v>
      </c>
      <c r="X62" s="72">
        <v>25.4</v>
      </c>
      <c r="Y62" s="72">
        <f>5.4+97.7</f>
        <v>103.10000000000001</v>
      </c>
      <c r="Z62" s="72"/>
      <c r="AA62" s="72"/>
      <c r="AB62" s="72"/>
      <c r="AC62" s="72"/>
      <c r="AD62" s="72"/>
      <c r="AE62" s="72"/>
      <c r="AF62" s="72"/>
      <c r="AG62" s="72">
        <f t="shared" si="13"/>
        <v>4081.9</v>
      </c>
      <c r="AH62" s="72">
        <f t="shared" si="14"/>
        <v>5557</v>
      </c>
      <c r="AJ62" s="21"/>
    </row>
    <row r="63" spans="1:36" s="18" customFormat="1" ht="15.75">
      <c r="A63" s="98" t="s">
        <v>5</v>
      </c>
      <c r="B63" s="97">
        <v>2514</v>
      </c>
      <c r="C63" s="97">
        <v>1047</v>
      </c>
      <c r="D63" s="72"/>
      <c r="E63" s="72"/>
      <c r="F63" s="72"/>
      <c r="G63" s="72"/>
      <c r="H63" s="72"/>
      <c r="I63" s="72">
        <v>17.3</v>
      </c>
      <c r="J63" s="72">
        <v>739.5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>
        <v>1432.2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2189</v>
      </c>
      <c r="AH63" s="72">
        <f t="shared" si="14"/>
        <v>1372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f>377.8+0.1-3.1</f>
        <v>374.8</v>
      </c>
      <c r="C65" s="97">
        <v>569.9000000000001</v>
      </c>
      <c r="D65" s="72"/>
      <c r="E65" s="72"/>
      <c r="F65" s="72"/>
      <c r="G65" s="72"/>
      <c r="H65" s="72"/>
      <c r="I65" s="72"/>
      <c r="J65" s="72"/>
      <c r="K65" s="72">
        <v>84</v>
      </c>
      <c r="L65" s="72">
        <v>7.3</v>
      </c>
      <c r="M65" s="72"/>
      <c r="N65" s="72"/>
      <c r="O65" s="72"/>
      <c r="P65" s="72">
        <v>8.9</v>
      </c>
      <c r="Q65" s="72">
        <v>0.2</v>
      </c>
      <c r="R65" s="72"/>
      <c r="S65" s="72"/>
      <c r="T65" s="72">
        <v>110.8</v>
      </c>
      <c r="U65" s="72"/>
      <c r="V65" s="72"/>
      <c r="W65" s="72">
        <f>122.9-0.1</f>
        <v>122.80000000000001</v>
      </c>
      <c r="X65" s="72"/>
      <c r="Y65" s="72">
        <v>5.4</v>
      </c>
      <c r="Z65" s="72"/>
      <c r="AA65" s="72"/>
      <c r="AB65" s="72"/>
      <c r="AC65" s="72"/>
      <c r="AD65" s="72"/>
      <c r="AE65" s="72"/>
      <c r="AF65" s="72"/>
      <c r="AG65" s="72">
        <f t="shared" si="13"/>
        <v>339.4</v>
      </c>
      <c r="AH65" s="72">
        <f t="shared" si="14"/>
        <v>605.3000000000001</v>
      </c>
      <c r="AI65" s="21"/>
      <c r="AJ65" s="21"/>
    </row>
    <row r="66" spans="1:36" s="18" customFormat="1" ht="15.75">
      <c r="A66" s="98" t="s">
        <v>2</v>
      </c>
      <c r="B66" s="97">
        <f>50.6+1.1</f>
        <v>51.7</v>
      </c>
      <c r="C66" s="97">
        <f>139.5+3.7</f>
        <v>143.2</v>
      </c>
      <c r="D66" s="72"/>
      <c r="E66" s="72"/>
      <c r="F66" s="72"/>
      <c r="G66" s="72">
        <f>23+1</f>
        <v>24</v>
      </c>
      <c r="H66" s="72"/>
      <c r="I66" s="72"/>
      <c r="J66" s="72"/>
      <c r="K66" s="72">
        <v>16.4</v>
      </c>
      <c r="L66" s="72"/>
      <c r="M66" s="72"/>
      <c r="N66" s="72"/>
      <c r="O66" s="72"/>
      <c r="P66" s="72">
        <v>1</v>
      </c>
      <c r="Q66" s="72"/>
      <c r="R66" s="72"/>
      <c r="S66" s="72"/>
      <c r="T66" s="72"/>
      <c r="U66" s="72"/>
      <c r="V66" s="72"/>
      <c r="W66" s="72">
        <v>37.3</v>
      </c>
      <c r="X66" s="72">
        <v>17.3</v>
      </c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95.99999999999999</v>
      </c>
      <c r="AH66" s="72">
        <f t="shared" si="14"/>
        <v>98.89999999999999</v>
      </c>
      <c r="AJ66" s="21"/>
    </row>
    <row r="67" spans="1:36" s="18" customFormat="1" ht="15.75">
      <c r="A67" s="98" t="s">
        <v>16</v>
      </c>
      <c r="B67" s="97">
        <v>68</v>
      </c>
      <c r="C67" s="97">
        <v>742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245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565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88.10000000000001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344</v>
      </c>
      <c r="L68" s="72">
        <f t="shared" si="15"/>
        <v>13.599999999999998</v>
      </c>
      <c r="M68" s="72">
        <f t="shared" si="15"/>
        <v>23.9</v>
      </c>
      <c r="N68" s="72">
        <f t="shared" si="15"/>
        <v>0</v>
      </c>
      <c r="O68" s="72">
        <f t="shared" si="15"/>
        <v>0</v>
      </c>
      <c r="P68" s="72">
        <f t="shared" si="15"/>
        <v>160.7</v>
      </c>
      <c r="Q68" s="72">
        <f t="shared" si="15"/>
        <v>0</v>
      </c>
      <c r="R68" s="72">
        <f t="shared" si="15"/>
        <v>0</v>
      </c>
      <c r="S68" s="72">
        <f t="shared" si="15"/>
        <v>2.6</v>
      </c>
      <c r="T68" s="72">
        <f t="shared" si="15"/>
        <v>73.50000000000001</v>
      </c>
      <c r="U68" s="72">
        <f t="shared" si="15"/>
        <v>0</v>
      </c>
      <c r="V68" s="72">
        <f t="shared" si="15"/>
        <v>291.5</v>
      </c>
      <c r="W68" s="72">
        <f t="shared" si="15"/>
        <v>108.80000000000001</v>
      </c>
      <c r="X68" s="72">
        <f t="shared" si="15"/>
        <v>8.099999999999998</v>
      </c>
      <c r="Y68" s="72">
        <f t="shared" si="15"/>
        <v>97.7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1212.5</v>
      </c>
      <c r="AH68" s="72">
        <f>AH62-AH63-AH66-AH67-AH65-AH64</f>
        <v>2915.7999999999997</v>
      </c>
      <c r="AJ68" s="21"/>
    </row>
    <row r="69" spans="1:36" s="18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72"/>
      <c r="E69" s="72"/>
      <c r="F69" s="72">
        <v>852.4</v>
      </c>
      <c r="G69" s="72"/>
      <c r="H69" s="72"/>
      <c r="I69" s="72"/>
      <c r="J69" s="72"/>
      <c r="K69" s="72"/>
      <c r="L69" s="72"/>
      <c r="M69" s="72"/>
      <c r="N69" s="72"/>
      <c r="O69" s="72"/>
      <c r="P69" s="72">
        <v>789.7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1642.1</v>
      </c>
      <c r="AH69" s="89">
        <f aca="true" t="shared" si="16" ref="AH69:AH92">B69+C69-AG69</f>
        <v>1.7000000000000455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49.6+1523-1900</f>
        <v>-327.4000000000001</v>
      </c>
      <c r="C71" s="109">
        <f>2501.3-871.7</f>
        <v>1629.6000000000001</v>
      </c>
      <c r="D71" s="80"/>
      <c r="E71" s="80"/>
      <c r="F71" s="80">
        <v>36</v>
      </c>
      <c r="G71" s="80"/>
      <c r="H71" s="80"/>
      <c r="I71" s="80">
        <v>430.7</v>
      </c>
      <c r="J71" s="80"/>
      <c r="K71" s="80"/>
      <c r="L71" s="80"/>
      <c r="M71" s="80"/>
      <c r="N71" s="80"/>
      <c r="O71" s="80">
        <v>542</v>
      </c>
      <c r="P71" s="80"/>
      <c r="Q71" s="80"/>
      <c r="R71" s="80"/>
      <c r="S71" s="80"/>
      <c r="T71" s="80"/>
      <c r="U71" s="80">
        <v>60.6</v>
      </c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1069.3</v>
      </c>
      <c r="AH71" s="89">
        <f t="shared" si="16"/>
        <v>232.9000000000001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401.1+127+427.8+80.5+473.5+109+0.2-438-90</f>
        <v>1091.1000000000001</v>
      </c>
      <c r="C72" s="97">
        <f>2095.5-100</f>
        <v>1995.5</v>
      </c>
      <c r="D72" s="72"/>
      <c r="E72" s="72"/>
      <c r="F72" s="72">
        <f>991.4-9.5-852.6</f>
        <v>129.29999999999995</v>
      </c>
      <c r="G72" s="72">
        <v>19.7</v>
      </c>
      <c r="H72" s="72">
        <v>21.9</v>
      </c>
      <c r="I72" s="72">
        <v>11</v>
      </c>
      <c r="J72" s="72">
        <v>0.3</v>
      </c>
      <c r="K72" s="72">
        <v>40.1</v>
      </c>
      <c r="L72" s="72">
        <v>0.3</v>
      </c>
      <c r="M72" s="72">
        <v>44.6</v>
      </c>
      <c r="N72" s="72"/>
      <c r="O72" s="72">
        <v>11.6</v>
      </c>
      <c r="P72" s="72"/>
      <c r="Q72" s="72"/>
      <c r="R72" s="72">
        <v>4.6</v>
      </c>
      <c r="S72" s="72"/>
      <c r="T72" s="72">
        <v>5.4</v>
      </c>
      <c r="U72" s="72">
        <v>490.9</v>
      </c>
      <c r="V72" s="72">
        <v>17.2</v>
      </c>
      <c r="W72" s="72">
        <f>7.7+80.5</f>
        <v>88.2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885.1000000000001</v>
      </c>
      <c r="AH72" s="89">
        <f t="shared" si="16"/>
        <v>2201.5</v>
      </c>
      <c r="AJ72" s="21"/>
    </row>
    <row r="73" spans="1:36" s="18" customFormat="1" ht="15" customHeight="1">
      <c r="A73" s="98" t="s">
        <v>5</v>
      </c>
      <c r="B73" s="97">
        <v>80.5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80.5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107+31</f>
        <v>138</v>
      </c>
      <c r="C74" s="97">
        <f>467.8</f>
        <v>467.8</v>
      </c>
      <c r="D74" s="72"/>
      <c r="E74" s="72"/>
      <c r="F74" s="72">
        <f>33.9+18.5</f>
        <v>52.4</v>
      </c>
      <c r="G74" s="72"/>
      <c r="H74" s="72"/>
      <c r="I74" s="72">
        <v>1</v>
      </c>
      <c r="J74" s="72"/>
      <c r="K74" s="72">
        <f>2.3+14.5</f>
        <v>16.8</v>
      </c>
      <c r="L74" s="72"/>
      <c r="M74" s="72"/>
      <c r="N74" s="72"/>
      <c r="O74" s="72">
        <v>1.1</v>
      </c>
      <c r="P74" s="72"/>
      <c r="Q74" s="72"/>
      <c r="R74" s="72"/>
      <c r="S74" s="72"/>
      <c r="T74" s="72">
        <v>4.5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</v>
      </c>
      <c r="AH74" s="89">
        <f t="shared" si="16"/>
        <v>530</v>
      </c>
      <c r="AJ74" s="21"/>
    </row>
    <row r="75" spans="1:36" s="18" customFormat="1" ht="15" customHeight="1">
      <c r="A75" s="98" t="s">
        <v>16</v>
      </c>
      <c r="B75" s="97">
        <f>15+11.6</f>
        <v>26.6</v>
      </c>
      <c r="C75" s="97">
        <f>39.5-8</f>
        <v>31.5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>
        <v>7.7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7.7</v>
      </c>
      <c r="AH75" s="89">
        <f t="shared" si="16"/>
        <v>50.4</v>
      </c>
      <c r="AJ75" s="21"/>
    </row>
    <row r="76" spans="1:36" s="112" customFormat="1" ht="15.75">
      <c r="A76" s="111" t="s">
        <v>48</v>
      </c>
      <c r="B76" s="97">
        <v>189.9</v>
      </c>
      <c r="C76" s="97">
        <v>32.79999999999998</v>
      </c>
      <c r="D76" s="72"/>
      <c r="E76" s="80"/>
      <c r="F76" s="80"/>
      <c r="G76" s="80"/>
      <c r="H76" s="80"/>
      <c r="I76" s="80">
        <v>18.6</v>
      </c>
      <c r="J76" s="80"/>
      <c r="K76" s="80"/>
      <c r="L76" s="80"/>
      <c r="M76" s="80"/>
      <c r="N76" s="80">
        <v>51.1</v>
      </c>
      <c r="O76" s="80"/>
      <c r="P76" s="80">
        <v>12</v>
      </c>
      <c r="Q76" s="80"/>
      <c r="R76" s="80">
        <v>15.7</v>
      </c>
      <c r="S76" s="80"/>
      <c r="T76" s="80"/>
      <c r="U76" s="80"/>
      <c r="V76" s="80"/>
      <c r="W76" s="80">
        <v>91.6</v>
      </c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189</v>
      </c>
      <c r="AH76" s="89">
        <f t="shared" si="16"/>
        <v>33.69999999999999</v>
      </c>
      <c r="AJ76" s="21"/>
    </row>
    <row r="77" spans="1:36" s="112" customFormat="1" ht="15.75">
      <c r="A77" s="98" t="s">
        <v>5</v>
      </c>
      <c r="B77" s="97">
        <f>135.6+0.1</f>
        <v>135.7</v>
      </c>
      <c r="C77" s="97">
        <v>6.5</v>
      </c>
      <c r="D77" s="72"/>
      <c r="E77" s="80"/>
      <c r="F77" s="80"/>
      <c r="G77" s="80"/>
      <c r="H77" s="80"/>
      <c r="I77" s="80">
        <v>16.1</v>
      </c>
      <c r="J77" s="80"/>
      <c r="K77" s="80"/>
      <c r="L77" s="80"/>
      <c r="M77" s="80"/>
      <c r="N77" s="80">
        <v>47.6</v>
      </c>
      <c r="O77" s="80"/>
      <c r="P77" s="80"/>
      <c r="Q77" s="80"/>
      <c r="R77" s="80"/>
      <c r="S77" s="80"/>
      <c r="T77" s="80"/>
      <c r="U77" s="80"/>
      <c r="V77" s="80"/>
      <c r="W77" s="80">
        <v>70.6</v>
      </c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134.3</v>
      </c>
      <c r="AH77" s="89">
        <f t="shared" si="16"/>
        <v>7.899999999999977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4.500000000000002</v>
      </c>
      <c r="D80" s="72"/>
      <c r="E80" s="80"/>
      <c r="F80" s="80"/>
      <c r="G80" s="80"/>
      <c r="H80" s="80"/>
      <c r="I80" s="80">
        <v>2.5</v>
      </c>
      <c r="J80" s="80"/>
      <c r="K80" s="80"/>
      <c r="L80" s="80"/>
      <c r="M80" s="80"/>
      <c r="N80" s="80">
        <f>0.1+0.1</f>
        <v>0.2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2.7</v>
      </c>
      <c r="AH80" s="89">
        <f t="shared" si="16"/>
        <v>2.4000000000000012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72"/>
      <c r="E89" s="72"/>
      <c r="F89" s="72">
        <v>7410.2</v>
      </c>
      <c r="G89" s="72">
        <v>1284.9</v>
      </c>
      <c r="H89" s="72"/>
      <c r="I89" s="72">
        <v>26.5</v>
      </c>
      <c r="J89" s="72">
        <v>5739.9</v>
      </c>
      <c r="K89" s="72"/>
      <c r="L89" s="72">
        <v>1034.3</v>
      </c>
      <c r="M89" s="72"/>
      <c r="N89" s="72"/>
      <c r="O89" s="72">
        <v>3540.7</v>
      </c>
      <c r="P89" s="72"/>
      <c r="Q89" s="72">
        <v>767.6</v>
      </c>
      <c r="R89" s="72">
        <v>4774.7</v>
      </c>
      <c r="S89" s="72"/>
      <c r="T89" s="72">
        <v>10767.4</v>
      </c>
      <c r="U89" s="72"/>
      <c r="V89" s="72">
        <v>32.2</v>
      </c>
      <c r="W89" s="72">
        <v>629.6</v>
      </c>
      <c r="X89" s="72"/>
      <c r="Y89" s="72">
        <v>927.9</v>
      </c>
      <c r="Z89" s="72"/>
      <c r="AA89" s="72"/>
      <c r="AB89" s="72"/>
      <c r="AC89" s="72"/>
      <c r="AD89" s="72"/>
      <c r="AE89" s="72"/>
      <c r="AF89" s="72"/>
      <c r="AG89" s="72">
        <f t="shared" si="13"/>
        <v>36935.899999999994</v>
      </c>
      <c r="AH89" s="72">
        <f t="shared" si="16"/>
        <v>1335.3000000000102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>
        <v>1886.8</v>
      </c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-35</v>
      </c>
      <c r="C91" s="97">
        <v>100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v>13414</v>
      </c>
      <c r="C92" s="97">
        <v>0.014829999996436527</v>
      </c>
      <c r="D92" s="72"/>
      <c r="E92" s="72">
        <v>10069.6</v>
      </c>
      <c r="F92" s="72"/>
      <c r="G92" s="72"/>
      <c r="H92" s="72"/>
      <c r="I92" s="72">
        <v>3344.4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13414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229019.09999999995</v>
      </c>
      <c r="C94" s="136">
        <f t="shared" si="17"/>
        <v>73688.91483000001</v>
      </c>
      <c r="D94" s="91">
        <f t="shared" si="17"/>
        <v>0</v>
      </c>
      <c r="E94" s="91">
        <f t="shared" si="17"/>
        <v>10633.300000000001</v>
      </c>
      <c r="F94" s="91">
        <f t="shared" si="17"/>
        <v>10038.3</v>
      </c>
      <c r="G94" s="91">
        <f t="shared" si="17"/>
        <v>3756.7</v>
      </c>
      <c r="H94" s="91">
        <f>H10+H15+H24+H33+H47+H52+H54+H61+H62+H69+H71+H72+H76+H81+H82+H83+H88+H89+H90+H91+H40+H92+H70</f>
        <v>3510.4</v>
      </c>
      <c r="I94" s="91">
        <f t="shared" si="17"/>
        <v>5282.1</v>
      </c>
      <c r="J94" s="91">
        <f t="shared" si="17"/>
        <v>13578</v>
      </c>
      <c r="K94" s="91">
        <f t="shared" si="17"/>
        <v>35166.799999999996</v>
      </c>
      <c r="L94" s="91">
        <f t="shared" si="17"/>
        <v>8076.5</v>
      </c>
      <c r="M94" s="91">
        <f t="shared" si="17"/>
        <v>3214</v>
      </c>
      <c r="N94" s="91">
        <f t="shared" si="17"/>
        <v>807.1</v>
      </c>
      <c r="O94" s="91">
        <f t="shared" si="17"/>
        <v>4867.8</v>
      </c>
      <c r="P94" s="91">
        <f t="shared" si="17"/>
        <v>7927.5</v>
      </c>
      <c r="Q94" s="91">
        <f t="shared" si="17"/>
        <v>3407.9</v>
      </c>
      <c r="R94" s="91">
        <f t="shared" si="17"/>
        <v>5663.7</v>
      </c>
      <c r="S94" s="91">
        <f t="shared" si="17"/>
        <v>1038.8</v>
      </c>
      <c r="T94" s="91">
        <f t="shared" si="17"/>
        <v>12953</v>
      </c>
      <c r="U94" s="91">
        <f t="shared" si="17"/>
        <v>3811.3999999999996</v>
      </c>
      <c r="V94" s="91">
        <f t="shared" si="17"/>
        <v>20865.4</v>
      </c>
      <c r="W94" s="91">
        <f t="shared" si="17"/>
        <v>60125.69999999999</v>
      </c>
      <c r="X94" s="91">
        <f t="shared" si="17"/>
        <v>5106.599999999999</v>
      </c>
      <c r="Y94" s="91">
        <f t="shared" si="17"/>
        <v>1040.7</v>
      </c>
      <c r="Z94" s="91">
        <f t="shared" si="17"/>
        <v>1893.8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222765.49999999997</v>
      </c>
      <c r="AH94" s="91">
        <f>AH10+AH15+AH24+AH33+AH47+AH52+AH54+AH61+AH62+AH69+AH71+AH72+AH76+AH81+AH82+AH83+AH88+AH89+AH90+AH91+AH70+AH40+AH92</f>
        <v>79942.51483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72">
        <f t="shared" si="18"/>
        <v>0</v>
      </c>
      <c r="E95" s="72">
        <f t="shared" si="18"/>
        <v>497.7</v>
      </c>
      <c r="F95" s="72">
        <f t="shared" si="18"/>
        <v>70.3</v>
      </c>
      <c r="G95" s="72">
        <f t="shared" si="18"/>
        <v>10.4</v>
      </c>
      <c r="H95" s="72">
        <f>H11+H17+H26+H34+H55+H63+H73+H41+H77+H48</f>
        <v>66.5</v>
      </c>
      <c r="I95" s="72">
        <f t="shared" si="18"/>
        <v>431.30000000000007</v>
      </c>
      <c r="J95" s="72">
        <f t="shared" si="18"/>
        <v>739.5</v>
      </c>
      <c r="K95" s="72">
        <f t="shared" si="18"/>
        <v>24522.9</v>
      </c>
      <c r="L95" s="72">
        <f t="shared" si="18"/>
        <v>2824.2000000000003</v>
      </c>
      <c r="M95" s="72">
        <f t="shared" si="18"/>
        <v>2098.9</v>
      </c>
      <c r="N95" s="72">
        <f t="shared" si="18"/>
        <v>47.6</v>
      </c>
      <c r="O95" s="72">
        <f t="shared" si="18"/>
        <v>101.7</v>
      </c>
      <c r="P95" s="72">
        <f t="shared" si="18"/>
        <v>0.4</v>
      </c>
      <c r="Q95" s="72">
        <f t="shared" si="18"/>
        <v>516</v>
      </c>
      <c r="R95" s="72">
        <f t="shared" si="18"/>
        <v>0</v>
      </c>
      <c r="S95" s="72">
        <f t="shared" si="18"/>
        <v>10.8</v>
      </c>
      <c r="T95" s="72">
        <f t="shared" si="18"/>
        <v>0</v>
      </c>
      <c r="U95" s="72">
        <f t="shared" si="18"/>
        <v>0</v>
      </c>
      <c r="V95" s="72">
        <f t="shared" si="18"/>
        <v>2909.8</v>
      </c>
      <c r="W95" s="72">
        <f>W11+W17+W26+W34+W55+W63+W73+W41+W77+W48</f>
        <v>57240.19999999999</v>
      </c>
      <c r="X95" s="72">
        <f t="shared" si="18"/>
        <v>4959.9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97048.09999999999</v>
      </c>
      <c r="AH95" s="72">
        <f>B95+C95-AG95</f>
        <v>31577.15999999999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72">
        <f t="shared" si="19"/>
        <v>0</v>
      </c>
      <c r="E96" s="72">
        <f t="shared" si="19"/>
        <v>0</v>
      </c>
      <c r="F96" s="72">
        <f t="shared" si="19"/>
        <v>1086.1000000000001</v>
      </c>
      <c r="G96" s="72">
        <f t="shared" si="19"/>
        <v>641.1</v>
      </c>
      <c r="H96" s="72">
        <f>H12+H20+H29+H36+H57+H66+H44+H80+H74+H53</f>
        <v>199</v>
      </c>
      <c r="I96" s="72">
        <f t="shared" si="19"/>
        <v>126</v>
      </c>
      <c r="J96" s="72">
        <f t="shared" si="19"/>
        <v>944.5</v>
      </c>
      <c r="K96" s="72">
        <f t="shared" si="19"/>
        <v>888.8</v>
      </c>
      <c r="L96" s="72">
        <f t="shared" si="19"/>
        <v>891.8</v>
      </c>
      <c r="M96" s="72">
        <f t="shared" si="19"/>
        <v>6.2</v>
      </c>
      <c r="N96" s="72">
        <f t="shared" si="19"/>
        <v>274.2</v>
      </c>
      <c r="O96" s="72">
        <f t="shared" si="19"/>
        <v>74.19999999999999</v>
      </c>
      <c r="P96" s="72">
        <f t="shared" si="19"/>
        <v>345.9</v>
      </c>
      <c r="Q96" s="72">
        <f t="shared" si="19"/>
        <v>0</v>
      </c>
      <c r="R96" s="72">
        <f t="shared" si="19"/>
        <v>93.7</v>
      </c>
      <c r="S96" s="72">
        <f t="shared" si="19"/>
        <v>72.5</v>
      </c>
      <c r="T96" s="72">
        <f t="shared" si="19"/>
        <v>482.8</v>
      </c>
      <c r="U96" s="72">
        <f t="shared" si="19"/>
        <v>233.2</v>
      </c>
      <c r="V96" s="72">
        <f t="shared" si="19"/>
        <v>123.3</v>
      </c>
      <c r="W96" s="72">
        <f t="shared" si="19"/>
        <v>498.30000000000007</v>
      </c>
      <c r="X96" s="72">
        <f t="shared" si="19"/>
        <v>17.900000000000002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6999.499999999999</v>
      </c>
      <c r="AH96" s="72">
        <f>B96+C96-AG96</f>
        <v>9384.899999999998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16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0.4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0.4</v>
      </c>
      <c r="AH97" s="72">
        <f>B97+C97-AG97</f>
        <v>15.6</v>
      </c>
    </row>
    <row r="98" spans="1:34" s="18" customFormat="1" ht="15.75">
      <c r="A98" s="98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708.8</v>
      </c>
      <c r="H98" s="72">
        <f>H19+H28+H65+H35+H43+H56+H79</f>
        <v>214.1</v>
      </c>
      <c r="I98" s="72">
        <f t="shared" si="21"/>
        <v>98</v>
      </c>
      <c r="J98" s="72">
        <f t="shared" si="21"/>
        <v>840.2</v>
      </c>
      <c r="K98" s="72">
        <f t="shared" si="21"/>
        <v>523.2</v>
      </c>
      <c r="L98" s="72">
        <f t="shared" si="21"/>
        <v>41.599999999999994</v>
      </c>
      <c r="M98" s="72">
        <f t="shared" si="21"/>
        <v>314.6</v>
      </c>
      <c r="N98" s="72">
        <f t="shared" si="21"/>
        <v>100.4</v>
      </c>
      <c r="O98" s="72">
        <f t="shared" si="21"/>
        <v>466.3</v>
      </c>
      <c r="P98" s="72">
        <f t="shared" si="21"/>
        <v>450.59999999999997</v>
      </c>
      <c r="Q98" s="72">
        <f t="shared" si="21"/>
        <v>0.2</v>
      </c>
      <c r="R98" s="72">
        <f t="shared" si="21"/>
        <v>78.1</v>
      </c>
      <c r="S98" s="72">
        <f t="shared" si="21"/>
        <v>348.79999999999995</v>
      </c>
      <c r="T98" s="72">
        <f t="shared" si="21"/>
        <v>113</v>
      </c>
      <c r="U98" s="72">
        <f t="shared" si="21"/>
        <v>951.6</v>
      </c>
      <c r="V98" s="72">
        <f t="shared" si="21"/>
        <v>5.1</v>
      </c>
      <c r="W98" s="72">
        <f t="shared" si="21"/>
        <v>156.9</v>
      </c>
      <c r="X98" s="72">
        <f t="shared" si="21"/>
        <v>1.7</v>
      </c>
      <c r="Y98" s="72">
        <f t="shared" si="21"/>
        <v>5.4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5418.599999999999</v>
      </c>
      <c r="AH98" s="72">
        <f>B98+C98-AG98</f>
        <v>3654.4000000000005</v>
      </c>
    </row>
    <row r="99" spans="1:34" s="18" customFormat="1" ht="15.75">
      <c r="A99" s="98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235.8</v>
      </c>
      <c r="H99" s="72">
        <f>H21+H30+H49+H37+H58+H13+H75+H67</f>
        <v>1919</v>
      </c>
      <c r="I99" s="72">
        <f t="shared" si="22"/>
        <v>31.6</v>
      </c>
      <c r="J99" s="72">
        <f t="shared" si="22"/>
        <v>205.8</v>
      </c>
      <c r="K99" s="72">
        <f t="shared" si="22"/>
        <v>0</v>
      </c>
      <c r="L99" s="72">
        <f t="shared" si="22"/>
        <v>186</v>
      </c>
      <c r="M99" s="72">
        <f t="shared" si="22"/>
        <v>156.7</v>
      </c>
      <c r="N99" s="72">
        <f t="shared" si="22"/>
        <v>80.6</v>
      </c>
      <c r="O99" s="72">
        <f t="shared" si="22"/>
        <v>10</v>
      </c>
      <c r="P99" s="72">
        <f t="shared" si="22"/>
        <v>1790.4</v>
      </c>
      <c r="Q99" s="72">
        <f t="shared" si="22"/>
        <v>11.7</v>
      </c>
      <c r="R99" s="72">
        <f t="shared" si="22"/>
        <v>522.6</v>
      </c>
      <c r="S99" s="72">
        <f t="shared" si="22"/>
        <v>363.5</v>
      </c>
      <c r="T99" s="72">
        <f t="shared" si="22"/>
        <v>346</v>
      </c>
      <c r="U99" s="72">
        <f t="shared" si="22"/>
        <v>0</v>
      </c>
      <c r="V99" s="72">
        <f t="shared" si="22"/>
        <v>87.4</v>
      </c>
      <c r="W99" s="72">
        <f t="shared" si="22"/>
        <v>198.1</v>
      </c>
      <c r="X99" s="72">
        <f t="shared" si="22"/>
        <v>50.2</v>
      </c>
      <c r="Y99" s="72">
        <f t="shared" si="22"/>
        <v>2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6197.4</v>
      </c>
      <c r="AH99" s="72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8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R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G15" sqref="AG15:AG2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</row>
    <row r="2" spans="1:34" s="18" customFormat="1" ht="22.5" customHeight="1">
      <c r="A2" s="141" t="s">
        <v>62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63</v>
      </c>
      <c r="C4" s="119" t="s">
        <v>18</v>
      </c>
      <c r="D4" s="119">
        <v>1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18</v>
      </c>
      <c r="P4" s="19">
        <v>19</v>
      </c>
      <c r="Q4" s="19">
        <v>20</v>
      </c>
      <c r="R4" s="19">
        <v>21</v>
      </c>
      <c r="S4" s="19">
        <v>24</v>
      </c>
      <c r="T4" s="19">
        <v>25</v>
      </c>
      <c r="U4" s="19">
        <v>26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63803.2</v>
      </c>
      <c r="C7" s="86">
        <v>9997.099999999995</v>
      </c>
      <c r="D7" s="122"/>
      <c r="E7" s="39"/>
      <c r="F7" s="39">
        <v>31901.6</v>
      </c>
      <c r="G7" s="39"/>
      <c r="H7" s="124"/>
      <c r="I7" s="125"/>
      <c r="J7" s="39"/>
      <c r="K7" s="39">
        <v>31901.6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C7+F7+K7-AG16-AG25</f>
        <v>1603.899999999987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136207.2</v>
      </c>
      <c r="C8" s="87">
        <v>51808.37824000011</v>
      </c>
      <c r="D8" s="127"/>
      <c r="E8" s="128">
        <v>6672.4</v>
      </c>
      <c r="F8" s="62">
        <v>3679.2</v>
      </c>
      <c r="G8" s="62">
        <v>3636.6</v>
      </c>
      <c r="H8" s="62">
        <v>5869.4</v>
      </c>
      <c r="I8" s="62">
        <v>8563.9</v>
      </c>
      <c r="J8" s="62">
        <v>17777.1</v>
      </c>
      <c r="K8" s="62">
        <v>2436</v>
      </c>
      <c r="L8" s="62">
        <v>1973.6</v>
      </c>
      <c r="M8" s="62">
        <v>2886</v>
      </c>
      <c r="N8" s="62">
        <v>8385.1</v>
      </c>
      <c r="O8" s="62">
        <v>12331.8</v>
      </c>
      <c r="P8" s="62">
        <v>5263.3</v>
      </c>
      <c r="Q8" s="62">
        <v>5190.3</v>
      </c>
      <c r="R8" s="62">
        <v>7573.1</v>
      </c>
      <c r="S8" s="62">
        <v>10972.7</v>
      </c>
      <c r="T8" s="63">
        <v>3749</v>
      </c>
      <c r="U8" s="63">
        <v>9651.2</v>
      </c>
      <c r="V8" s="62">
        <v>19596.5</v>
      </c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28300.3066200002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219183.89999999997</v>
      </c>
      <c r="C9" s="132">
        <f t="shared" si="0"/>
        <v>79954.2</v>
      </c>
      <c r="D9" s="90">
        <f t="shared" si="0"/>
        <v>0</v>
      </c>
      <c r="E9" s="90">
        <f t="shared" si="0"/>
        <v>254.4</v>
      </c>
      <c r="F9" s="90">
        <f t="shared" si="0"/>
        <v>3045.7</v>
      </c>
      <c r="G9" s="90">
        <f t="shared" si="0"/>
        <v>9565.8</v>
      </c>
      <c r="H9" s="90">
        <f>H10+H15+H24+H33+H47+H52+H54+H61+H62+H71+H72+H88+H76+H81+H83+H82+H69+H89+H90+H91+H70+H40+H92</f>
        <v>5999.699999999999</v>
      </c>
      <c r="I9" s="90">
        <f t="shared" si="0"/>
        <v>4947.47162</v>
      </c>
      <c r="J9" s="90">
        <f t="shared" si="0"/>
        <v>9309.4</v>
      </c>
      <c r="K9" s="90">
        <f t="shared" si="0"/>
        <v>33398.5</v>
      </c>
      <c r="L9" s="90">
        <f t="shared" si="0"/>
        <v>51394.700000000004</v>
      </c>
      <c r="M9" s="90">
        <f t="shared" si="0"/>
        <v>5278.899999999999</v>
      </c>
      <c r="N9" s="90">
        <f t="shared" si="0"/>
        <v>2657.7999999999997</v>
      </c>
      <c r="O9" s="90">
        <f t="shared" si="0"/>
        <v>2062.5</v>
      </c>
      <c r="P9" s="90">
        <f t="shared" si="0"/>
        <v>5695.3</v>
      </c>
      <c r="Q9" s="90">
        <f t="shared" si="0"/>
        <v>4019</v>
      </c>
      <c r="R9" s="90">
        <f t="shared" si="0"/>
        <v>4339.4</v>
      </c>
      <c r="S9" s="90">
        <f t="shared" si="0"/>
        <v>47823.69999999999</v>
      </c>
      <c r="T9" s="90">
        <f t="shared" si="0"/>
        <v>15705.400000000001</v>
      </c>
      <c r="U9" s="90">
        <f t="shared" si="0"/>
        <v>9906.7</v>
      </c>
      <c r="V9" s="90">
        <f t="shared" si="0"/>
        <v>16507.3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231911.67161999992</v>
      </c>
      <c r="AH9" s="90">
        <f>AH10+AH15+AH24+AH33+AH47+AH52+AH54+AH61+AH62+AH71+AH72+AH76+AH88+AH81+AH83+AH82+AH69+AH89+AH91+AH90+AH70+AH40+AH92</f>
        <v>67226.42838000007</v>
      </c>
      <c r="AI9" s="133"/>
      <c r="AJ9" s="133"/>
    </row>
    <row r="10" spans="1:36" s="18" customFormat="1" ht="15.75">
      <c r="A10" s="96" t="s">
        <v>4</v>
      </c>
      <c r="B10" s="97">
        <v>18971.4</v>
      </c>
      <c r="C10" s="97">
        <v>5643.699999999997</v>
      </c>
      <c r="D10" s="72"/>
      <c r="E10" s="72">
        <v>247</v>
      </c>
      <c r="F10" s="72">
        <v>44.8</v>
      </c>
      <c r="G10" s="72">
        <v>413.5</v>
      </c>
      <c r="H10" s="72">
        <v>53.4</v>
      </c>
      <c r="I10" s="72">
        <v>25.7</v>
      </c>
      <c r="J10" s="72">
        <v>139.9</v>
      </c>
      <c r="K10" s="70">
        <v>2325.9</v>
      </c>
      <c r="L10" s="72">
        <v>1224.6</v>
      </c>
      <c r="M10" s="72">
        <v>3612.7</v>
      </c>
      <c r="N10" s="72">
        <v>7.2</v>
      </c>
      <c r="O10" s="72">
        <v>24.9</v>
      </c>
      <c r="P10" s="72">
        <v>479.2</v>
      </c>
      <c r="Q10" s="72">
        <v>19.1</v>
      </c>
      <c r="R10" s="72">
        <v>1.8</v>
      </c>
      <c r="S10" s="72">
        <v>1175.5</v>
      </c>
      <c r="T10" s="72">
        <v>45.4</v>
      </c>
      <c r="U10" s="72">
        <v>8006.2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17846.8</v>
      </c>
      <c r="AH10" s="72">
        <f>B10+C10-AG10</f>
        <v>6768.299999999999</v>
      </c>
      <c r="AJ10" s="21"/>
    </row>
    <row r="11" spans="1:36" s="18" customFormat="1" ht="15.75">
      <c r="A11" s="98" t="s">
        <v>5</v>
      </c>
      <c r="B11" s="97">
        <v>17936.1</v>
      </c>
      <c r="C11" s="97">
        <v>4435.300000000007</v>
      </c>
      <c r="D11" s="72"/>
      <c r="E11" s="72">
        <v>244.9</v>
      </c>
      <c r="F11" s="72">
        <v>22.5</v>
      </c>
      <c r="G11" s="72">
        <v>122</v>
      </c>
      <c r="H11" s="72"/>
      <c r="I11" s="72"/>
      <c r="J11" s="72">
        <v>32.5</v>
      </c>
      <c r="K11" s="72">
        <f>2213.2+9.1</f>
        <v>2222.2999999999997</v>
      </c>
      <c r="L11" s="72">
        <v>1219</v>
      </c>
      <c r="M11" s="72">
        <v>3586</v>
      </c>
      <c r="N11" s="72"/>
      <c r="O11" s="72"/>
      <c r="P11" s="72">
        <v>360</v>
      </c>
      <c r="Q11" s="72"/>
      <c r="R11" s="72"/>
      <c r="S11" s="72">
        <v>1161.2</v>
      </c>
      <c r="T11" s="72"/>
      <c r="U11" s="72">
        <v>7970.4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16940.8</v>
      </c>
      <c r="AH11" s="72">
        <f>B11+C11-AG11</f>
        <v>5430.600000000006</v>
      </c>
      <c r="AJ11" s="21"/>
    </row>
    <row r="12" spans="1:36" s="18" customFormat="1" ht="15.75">
      <c r="A12" s="98" t="s">
        <v>2</v>
      </c>
      <c r="B12" s="99">
        <f>94.4-30</f>
        <v>64.4</v>
      </c>
      <c r="C12" s="97">
        <v>18.69999999999999</v>
      </c>
      <c r="D12" s="72"/>
      <c r="E12" s="72"/>
      <c r="F12" s="72"/>
      <c r="G12" s="72">
        <v>52.3</v>
      </c>
      <c r="H12" s="72"/>
      <c r="I12" s="72">
        <v>6.5</v>
      </c>
      <c r="J12" s="72"/>
      <c r="K12" s="72"/>
      <c r="L12" s="72"/>
      <c r="M12" s="72"/>
      <c r="N12" s="72"/>
      <c r="O12" s="72"/>
      <c r="P12" s="72"/>
      <c r="Q12" s="72">
        <v>0.9</v>
      </c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59.699999999999996</v>
      </c>
      <c r="AH12" s="72">
        <f>B12+C12-AG12</f>
        <v>23.4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970.9000000000029</v>
      </c>
      <c r="C14" s="97">
        <v>1189.6999999999905</v>
      </c>
      <c r="D14" s="72">
        <f t="shared" si="2"/>
        <v>0</v>
      </c>
      <c r="E14" s="72">
        <f t="shared" si="2"/>
        <v>2.0999999999999943</v>
      </c>
      <c r="F14" s="72">
        <f t="shared" si="2"/>
        <v>22.299999999999997</v>
      </c>
      <c r="G14" s="72">
        <f t="shared" si="2"/>
        <v>239.2</v>
      </c>
      <c r="H14" s="72">
        <f>H10-H11-H12-H13</f>
        <v>53.4</v>
      </c>
      <c r="I14" s="72">
        <f t="shared" si="2"/>
        <v>19.2</v>
      </c>
      <c r="J14" s="72">
        <f t="shared" si="2"/>
        <v>107.4</v>
      </c>
      <c r="K14" s="72">
        <f t="shared" si="2"/>
        <v>103.60000000000036</v>
      </c>
      <c r="L14" s="72">
        <f t="shared" si="2"/>
        <v>5.599999999999909</v>
      </c>
      <c r="M14" s="72">
        <f t="shared" si="2"/>
        <v>26.699999999999818</v>
      </c>
      <c r="N14" s="72">
        <f t="shared" si="2"/>
        <v>7.2</v>
      </c>
      <c r="O14" s="72">
        <f t="shared" si="2"/>
        <v>24.9</v>
      </c>
      <c r="P14" s="72">
        <f t="shared" si="2"/>
        <v>119.19999999999999</v>
      </c>
      <c r="Q14" s="72">
        <f t="shared" si="2"/>
        <v>18.200000000000003</v>
      </c>
      <c r="R14" s="72">
        <f t="shared" si="2"/>
        <v>1.8</v>
      </c>
      <c r="S14" s="72">
        <f t="shared" si="2"/>
        <v>14.299999999999955</v>
      </c>
      <c r="T14" s="72">
        <f t="shared" si="2"/>
        <v>45.4</v>
      </c>
      <c r="U14" s="72">
        <f t="shared" si="2"/>
        <v>35.80000000000018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846.3000000000001</v>
      </c>
      <c r="AH14" s="72">
        <f>AH10-AH11-AH12-AH13</f>
        <v>1314.2999999999934</v>
      </c>
      <c r="AJ14" s="21"/>
    </row>
    <row r="15" spans="1:36" s="18" customFormat="1" ht="15" customHeight="1">
      <c r="A15" s="96" t="s">
        <v>6</v>
      </c>
      <c r="B15" s="97">
        <f>113508.2+2.3-1603.2-3000</f>
        <v>108907.3</v>
      </c>
      <c r="C15" s="97">
        <v>43415.30000000002</v>
      </c>
      <c r="D15" s="100"/>
      <c r="E15" s="100"/>
      <c r="F15" s="72">
        <f>188.2+2302.2</f>
        <v>2490.3999999999996</v>
      </c>
      <c r="G15" s="72">
        <v>499</v>
      </c>
      <c r="H15" s="72">
        <v>1591.3</v>
      </c>
      <c r="I15" s="72">
        <v>567.9</v>
      </c>
      <c r="J15" s="72">
        <v>115.1</v>
      </c>
      <c r="K15" s="72">
        <v>18723.3</v>
      </c>
      <c r="L15" s="72">
        <f>4498.4+41728.4</f>
        <v>46226.8</v>
      </c>
      <c r="M15" s="72">
        <v>849.5</v>
      </c>
      <c r="N15" s="72">
        <v>425.1</v>
      </c>
      <c r="O15" s="72">
        <v>621.1</v>
      </c>
      <c r="P15" s="72">
        <v>23.4</v>
      </c>
      <c r="Q15" s="72">
        <v>130.9</v>
      </c>
      <c r="R15" s="72">
        <v>1148.2</v>
      </c>
      <c r="S15" s="72">
        <f>15957.3+10871.6</f>
        <v>26828.9</v>
      </c>
      <c r="T15" s="72">
        <v>22012.8</v>
      </c>
      <c r="U15" s="72">
        <v>800.8</v>
      </c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123054.5</v>
      </c>
      <c r="AH15" s="72">
        <f aca="true" t="shared" si="3" ref="AH15:AH31">B15+C15-AG15</f>
        <v>29268.100000000035</v>
      </c>
      <c r="AJ15" s="21"/>
    </row>
    <row r="16" spans="1:36" s="104" customFormat="1" ht="15" customHeight="1">
      <c r="A16" s="101" t="s">
        <v>38</v>
      </c>
      <c r="B16" s="102">
        <v>46764.9</v>
      </c>
      <c r="C16" s="102">
        <v>9099</v>
      </c>
      <c r="D16" s="88"/>
      <c r="E16" s="88"/>
      <c r="F16" s="76">
        <v>2302.2</v>
      </c>
      <c r="G16" s="76"/>
      <c r="H16" s="76"/>
      <c r="I16" s="76"/>
      <c r="J16" s="76"/>
      <c r="K16" s="76"/>
      <c r="L16" s="76">
        <v>41728.4</v>
      </c>
      <c r="M16" s="76">
        <v>13.4</v>
      </c>
      <c r="N16" s="76"/>
      <c r="O16" s="76"/>
      <c r="P16" s="76"/>
      <c r="Q16" s="76"/>
      <c r="R16" s="76"/>
      <c r="S16" s="76">
        <v>10871.6</v>
      </c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54915.6</v>
      </c>
      <c r="AH16" s="88">
        <f t="shared" si="3"/>
        <v>948.3000000000029</v>
      </c>
      <c r="AI16" s="103"/>
      <c r="AJ16" s="21"/>
    </row>
    <row r="17" spans="1:36" s="18" customFormat="1" ht="15.75">
      <c r="A17" s="98" t="s">
        <v>5</v>
      </c>
      <c r="B17" s="97">
        <v>99576.2</v>
      </c>
      <c r="C17" s="97">
        <v>25260.059999999983</v>
      </c>
      <c r="D17" s="72"/>
      <c r="E17" s="72"/>
      <c r="F17" s="72">
        <f>2302.2+162.1</f>
        <v>2464.2999999999997</v>
      </c>
      <c r="G17" s="72"/>
      <c r="H17" s="72"/>
      <c r="I17" s="72"/>
      <c r="J17" s="72"/>
      <c r="K17" s="72">
        <v>18657.4</v>
      </c>
      <c r="L17" s="72">
        <f>3346.3+41728.4</f>
        <v>45074.700000000004</v>
      </c>
      <c r="M17" s="72">
        <v>13.4</v>
      </c>
      <c r="N17" s="72">
        <v>4.5</v>
      </c>
      <c r="O17" s="72"/>
      <c r="P17" s="72"/>
      <c r="Q17" s="72"/>
      <c r="R17" s="72"/>
      <c r="S17" s="72">
        <f>10871.6+15709.6</f>
        <v>26581.2</v>
      </c>
      <c r="T17" s="72">
        <v>21507.2</v>
      </c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114302.7</v>
      </c>
      <c r="AH17" s="72">
        <f t="shared" si="3"/>
        <v>10533.559999999983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14.700000000000001</v>
      </c>
      <c r="D18" s="72"/>
      <c r="E18" s="72"/>
      <c r="F18" s="72"/>
      <c r="G18" s="72"/>
      <c r="H18" s="72"/>
      <c r="I18" s="72">
        <v>0.1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0.1</v>
      </c>
      <c r="AH18" s="72">
        <f t="shared" si="3"/>
        <v>14.600000000000001</v>
      </c>
      <c r="AJ18" s="21"/>
    </row>
    <row r="19" spans="1:36" s="18" customFormat="1" ht="15.75">
      <c r="A19" s="98" t="s">
        <v>1</v>
      </c>
      <c r="B19" s="97">
        <v>2131.2</v>
      </c>
      <c r="C19" s="97">
        <v>2625.2999999999984</v>
      </c>
      <c r="D19" s="72"/>
      <c r="E19" s="72"/>
      <c r="F19" s="72"/>
      <c r="G19" s="72">
        <v>334.9</v>
      </c>
      <c r="H19" s="72">
        <v>507.1</v>
      </c>
      <c r="I19" s="72">
        <v>37.5</v>
      </c>
      <c r="J19" s="72">
        <v>42.2</v>
      </c>
      <c r="K19" s="72"/>
      <c r="L19" s="72">
        <v>615.4</v>
      </c>
      <c r="M19" s="72">
        <v>261.9</v>
      </c>
      <c r="N19" s="72">
        <v>63.6</v>
      </c>
      <c r="O19" s="72">
        <v>420</v>
      </c>
      <c r="P19" s="72">
        <v>11.8</v>
      </c>
      <c r="Q19" s="72">
        <v>62.7</v>
      </c>
      <c r="R19" s="72">
        <v>271.9</v>
      </c>
      <c r="S19" s="72"/>
      <c r="T19" s="72">
        <v>339.3</v>
      </c>
      <c r="U19" s="72">
        <v>1.2</v>
      </c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2969.5</v>
      </c>
      <c r="AH19" s="72">
        <f t="shared" si="3"/>
        <v>1786.9999999999982</v>
      </c>
      <c r="AJ19" s="21"/>
    </row>
    <row r="20" spans="1:36" s="18" customFormat="1" ht="15.75">
      <c r="A20" s="98" t="s">
        <v>2</v>
      </c>
      <c r="B20" s="97">
        <f>7677.9-1603.2-1801.7-3000</f>
        <v>1273</v>
      </c>
      <c r="C20" s="97">
        <v>8108.699999999996</v>
      </c>
      <c r="D20" s="72"/>
      <c r="E20" s="72"/>
      <c r="F20" s="72">
        <v>26.1</v>
      </c>
      <c r="G20" s="72">
        <v>153.5</v>
      </c>
      <c r="H20" s="72">
        <v>791.4</v>
      </c>
      <c r="I20" s="72">
        <v>33.6</v>
      </c>
      <c r="J20" s="72">
        <v>60.7</v>
      </c>
      <c r="K20" s="72">
        <v>1.7</v>
      </c>
      <c r="L20" s="72">
        <v>401.1</v>
      </c>
      <c r="M20" s="72">
        <v>68.1</v>
      </c>
      <c r="N20" s="72">
        <v>24.8</v>
      </c>
      <c r="O20" s="72">
        <f>4.6+1</f>
        <v>5.6</v>
      </c>
      <c r="P20" s="72">
        <v>8</v>
      </c>
      <c r="Q20" s="72">
        <v>29.5</v>
      </c>
      <c r="R20" s="72">
        <v>15</v>
      </c>
      <c r="S20" s="72">
        <v>11.6</v>
      </c>
      <c r="T20" s="72">
        <v>51.3</v>
      </c>
      <c r="U20" s="72">
        <v>0.2</v>
      </c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1682.1999999999996</v>
      </c>
      <c r="AH20" s="72">
        <f t="shared" si="3"/>
        <v>7699.499999999997</v>
      </c>
      <c r="AJ20" s="21"/>
    </row>
    <row r="21" spans="1:36" s="18" customFormat="1" ht="15.75">
      <c r="A21" s="98" t="s">
        <v>16</v>
      </c>
      <c r="B21" s="97">
        <f>979.8+2.3</f>
        <v>982.0999999999999</v>
      </c>
      <c r="C21" s="97">
        <v>761.5999999999999</v>
      </c>
      <c r="D21" s="72"/>
      <c r="E21" s="72"/>
      <c r="F21" s="72"/>
      <c r="G21" s="72"/>
      <c r="H21" s="72"/>
      <c r="I21" s="72"/>
      <c r="J21" s="72">
        <v>11.5</v>
      </c>
      <c r="K21" s="72"/>
      <c r="L21" s="72"/>
      <c r="M21" s="72">
        <v>502</v>
      </c>
      <c r="N21" s="72">
        <v>21</v>
      </c>
      <c r="O21" s="72"/>
      <c r="P21" s="72"/>
      <c r="Q21" s="72"/>
      <c r="R21" s="72">
        <v>253.6</v>
      </c>
      <c r="S21" s="72">
        <v>228.1</v>
      </c>
      <c r="T21" s="72"/>
      <c r="U21" s="72">
        <v>113.2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1129.4</v>
      </c>
      <c r="AH21" s="72">
        <f t="shared" si="3"/>
        <v>614.2999999999997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4944.800000000007</v>
      </c>
      <c r="C23" s="97">
        <v>6644.940000000013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-9.237055564881302E-14</v>
      </c>
      <c r="G23" s="72">
        <f t="shared" si="4"/>
        <v>10.600000000000023</v>
      </c>
      <c r="H23" s="72">
        <f>H15-H17-H18-H19-H20-H21-H22</f>
        <v>292.79999999999984</v>
      </c>
      <c r="I23" s="72">
        <f t="shared" si="4"/>
        <v>496.69999999999993</v>
      </c>
      <c r="J23" s="72">
        <f t="shared" si="4"/>
        <v>0.6999999999999886</v>
      </c>
      <c r="K23" s="72">
        <f t="shared" si="4"/>
        <v>64.19999999999781</v>
      </c>
      <c r="L23" s="72">
        <f t="shared" si="4"/>
        <v>135.59999999999854</v>
      </c>
      <c r="M23" s="72">
        <f t="shared" si="4"/>
        <v>4.100000000000023</v>
      </c>
      <c r="N23" s="72">
        <f t="shared" si="4"/>
        <v>311.2</v>
      </c>
      <c r="O23" s="72">
        <f t="shared" si="4"/>
        <v>195.50000000000003</v>
      </c>
      <c r="P23" s="72">
        <f t="shared" si="4"/>
        <v>3.599999999999998</v>
      </c>
      <c r="Q23" s="72">
        <f t="shared" si="4"/>
        <v>38.7</v>
      </c>
      <c r="R23" s="72">
        <f t="shared" si="4"/>
        <v>607.7</v>
      </c>
      <c r="S23" s="72">
        <f t="shared" si="4"/>
        <v>8.000000000000739</v>
      </c>
      <c r="T23" s="72">
        <f t="shared" si="4"/>
        <v>114.99999999999854</v>
      </c>
      <c r="U23" s="72">
        <f t="shared" si="4"/>
        <v>686.1999999999998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2970.5999999999954</v>
      </c>
      <c r="AH23" s="72">
        <f>B23+C23-AG23</f>
        <v>8619.140000000025</v>
      </c>
      <c r="AJ23" s="21"/>
    </row>
    <row r="24" spans="1:36" s="18" customFormat="1" ht="15" customHeight="1">
      <c r="A24" s="96" t="s">
        <v>7</v>
      </c>
      <c r="B24" s="97">
        <f>38587-6554-321.5+680.4+0.2</f>
        <v>32392.100000000002</v>
      </c>
      <c r="C24" s="97">
        <v>15127.600000000006</v>
      </c>
      <c r="D24" s="72"/>
      <c r="E24" s="72"/>
      <c r="F24" s="72">
        <v>124.1</v>
      </c>
      <c r="G24" s="72">
        <v>88.2</v>
      </c>
      <c r="H24" s="72"/>
      <c r="I24" s="72">
        <f>465.537+2379.1</f>
        <v>2844.6369999999997</v>
      </c>
      <c r="J24" s="72">
        <v>2.5</v>
      </c>
      <c r="K24" s="72">
        <f>781.8+7929.5</f>
        <v>8711.3</v>
      </c>
      <c r="L24" s="72">
        <v>2777.4</v>
      </c>
      <c r="M24" s="72"/>
      <c r="N24" s="72">
        <v>2069.6</v>
      </c>
      <c r="O24" s="72">
        <f>0.4+7.6</f>
        <v>8</v>
      </c>
      <c r="P24" s="72"/>
      <c r="Q24" s="72"/>
      <c r="R24" s="72">
        <f>55.2+549.6</f>
        <v>604.8000000000001</v>
      </c>
      <c r="S24" s="72">
        <f>6132.1+3997.5</f>
        <v>10129.6</v>
      </c>
      <c r="T24" s="72">
        <f>7281</f>
        <v>7281</v>
      </c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34641.136999999995</v>
      </c>
      <c r="AH24" s="72">
        <f t="shared" si="3"/>
        <v>12878.563000000016</v>
      </c>
      <c r="AJ24" s="21"/>
    </row>
    <row r="25" spans="1:36" s="104" customFormat="1" ht="15" customHeight="1">
      <c r="A25" s="101" t="s">
        <v>39</v>
      </c>
      <c r="B25" s="102">
        <f>17137.9+0.2</f>
        <v>17138.100000000002</v>
      </c>
      <c r="C25" s="102">
        <v>199.40000000000146</v>
      </c>
      <c r="D25" s="76"/>
      <c r="E25" s="76"/>
      <c r="F25" s="76">
        <v>124.1</v>
      </c>
      <c r="G25" s="76"/>
      <c r="H25" s="76"/>
      <c r="I25" s="76">
        <v>465.5</v>
      </c>
      <c r="J25" s="76"/>
      <c r="K25" s="76">
        <v>7929.5</v>
      </c>
      <c r="L25" s="76">
        <v>2777.4</v>
      </c>
      <c r="M25" s="76"/>
      <c r="N25" s="76">
        <v>1429.6</v>
      </c>
      <c r="O25" s="76">
        <v>7.6</v>
      </c>
      <c r="P25" s="76"/>
      <c r="Q25" s="76"/>
      <c r="R25" s="76">
        <v>549.6</v>
      </c>
      <c r="S25" s="76">
        <v>3997.5</v>
      </c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17280.800000000003</v>
      </c>
      <c r="AH25" s="88">
        <f t="shared" si="3"/>
        <v>56.70000000000073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f>90.9+42.4</f>
        <v>133.3</v>
      </c>
      <c r="C30" s="97">
        <v>63.90000000000002</v>
      </c>
      <c r="D30" s="72"/>
      <c r="E30" s="72"/>
      <c r="F30" s="72"/>
      <c r="G30" s="72">
        <v>88.2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109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197.2</v>
      </c>
      <c r="AH30" s="72">
        <f t="shared" si="3"/>
        <v>0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32258.800000000003</v>
      </c>
      <c r="C32" s="97">
        <v>15063.700000000006</v>
      </c>
      <c r="D32" s="72">
        <f aca="true" t="shared" si="5" ref="D32:AE32">D24-D26-D27-D28-D29-D30-D31</f>
        <v>0</v>
      </c>
      <c r="E32" s="72">
        <f t="shared" si="5"/>
        <v>0</v>
      </c>
      <c r="F32" s="72">
        <f t="shared" si="5"/>
        <v>124.1</v>
      </c>
      <c r="G32" s="72">
        <f t="shared" si="5"/>
        <v>0</v>
      </c>
      <c r="H32" s="72">
        <f>H24-H26-H27-H28-H29-H30-H31</f>
        <v>0</v>
      </c>
      <c r="I32" s="72">
        <f t="shared" si="5"/>
        <v>2844.6369999999997</v>
      </c>
      <c r="J32" s="72">
        <f t="shared" si="5"/>
        <v>2.5</v>
      </c>
      <c r="K32" s="72">
        <f t="shared" si="5"/>
        <v>8711.3</v>
      </c>
      <c r="L32" s="72">
        <f t="shared" si="5"/>
        <v>2777.4</v>
      </c>
      <c r="M32" s="72">
        <f t="shared" si="5"/>
        <v>0</v>
      </c>
      <c r="N32" s="72">
        <f t="shared" si="5"/>
        <v>2069.6</v>
      </c>
      <c r="O32" s="72">
        <f t="shared" si="5"/>
        <v>8</v>
      </c>
      <c r="P32" s="72">
        <f t="shared" si="5"/>
        <v>0</v>
      </c>
      <c r="Q32" s="72">
        <f t="shared" si="5"/>
        <v>0</v>
      </c>
      <c r="R32" s="72">
        <f t="shared" si="5"/>
        <v>604.8000000000001</v>
      </c>
      <c r="S32" s="72">
        <f t="shared" si="5"/>
        <v>10020.6</v>
      </c>
      <c r="T32" s="72">
        <f t="shared" si="5"/>
        <v>7281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34443.937</v>
      </c>
      <c r="AH32" s="72">
        <f>AH24-AH30</f>
        <v>12878.563000000016</v>
      </c>
      <c r="AJ32" s="21"/>
    </row>
    <row r="33" spans="1:36" s="18" customFormat="1" ht="15" customHeight="1">
      <c r="A33" s="96" t="s">
        <v>8</v>
      </c>
      <c r="B33" s="97">
        <v>2278.8</v>
      </c>
      <c r="C33" s="97">
        <v>635.0000000000001</v>
      </c>
      <c r="D33" s="72"/>
      <c r="E33" s="72"/>
      <c r="F33" s="72"/>
      <c r="G33" s="72"/>
      <c r="H33" s="72">
        <v>7.3</v>
      </c>
      <c r="I33" s="72"/>
      <c r="J33" s="72"/>
      <c r="K33" s="72"/>
      <c r="L33" s="72">
        <v>105</v>
      </c>
      <c r="M33" s="72"/>
      <c r="N33" s="72"/>
      <c r="O33" s="72"/>
      <c r="P33" s="72">
        <v>495.2</v>
      </c>
      <c r="Q33" s="72"/>
      <c r="R33" s="72">
        <v>130.9</v>
      </c>
      <c r="S33" s="72">
        <v>134.1</v>
      </c>
      <c r="T33" s="72">
        <v>450.8</v>
      </c>
      <c r="U33" s="72">
        <v>421.5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1744.8</v>
      </c>
      <c r="AH33" s="72">
        <f aca="true" t="shared" si="6" ref="AH33:AH38">B33+C33-AG33</f>
        <v>1169.0000000000002</v>
      </c>
      <c r="AJ33" s="21"/>
    </row>
    <row r="34" spans="1:36" s="18" customFormat="1" ht="15.75">
      <c r="A34" s="98" t="s">
        <v>5</v>
      </c>
      <c r="B34" s="97">
        <v>346.6</v>
      </c>
      <c r="C34" s="97">
        <v>28.899999999999977</v>
      </c>
      <c r="D34" s="72"/>
      <c r="E34" s="72"/>
      <c r="F34" s="72"/>
      <c r="G34" s="72"/>
      <c r="H34" s="72"/>
      <c r="I34" s="72"/>
      <c r="J34" s="72"/>
      <c r="K34" s="72"/>
      <c r="L34" s="72">
        <v>102</v>
      </c>
      <c r="M34" s="72"/>
      <c r="N34" s="72"/>
      <c r="O34" s="72"/>
      <c r="P34" s="72"/>
      <c r="Q34" s="72"/>
      <c r="R34" s="72">
        <v>130.9</v>
      </c>
      <c r="S34" s="72">
        <v>94.1</v>
      </c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327</v>
      </c>
      <c r="AH34" s="72">
        <f t="shared" si="6"/>
        <v>48.5</v>
      </c>
      <c r="AJ34" s="21"/>
    </row>
    <row r="35" spans="1:36" s="18" customFormat="1" ht="15.75">
      <c r="A35" s="98" t="s">
        <v>1</v>
      </c>
      <c r="B35" s="97"/>
      <c r="C35" s="97">
        <v>420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>
        <v>351.5</v>
      </c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351.5</v>
      </c>
      <c r="AH35" s="72">
        <f t="shared" si="6"/>
        <v>68.5</v>
      </c>
      <c r="AJ35" s="21"/>
    </row>
    <row r="36" spans="1:36" s="18" customFormat="1" ht="15.75">
      <c r="A36" s="98" t="s">
        <v>2</v>
      </c>
      <c r="B36" s="105">
        <v>4.3</v>
      </c>
      <c r="C36" s="97">
        <v>73.9</v>
      </c>
      <c r="D36" s="72"/>
      <c r="E36" s="72"/>
      <c r="F36" s="72"/>
      <c r="G36" s="72"/>
      <c r="H36" s="72">
        <v>7</v>
      </c>
      <c r="I36" s="72"/>
      <c r="J36" s="72"/>
      <c r="K36" s="72"/>
      <c r="L36" s="72">
        <v>0.8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7.8</v>
      </c>
      <c r="AH36" s="72">
        <f t="shared" si="6"/>
        <v>70.4</v>
      </c>
      <c r="AJ36" s="21"/>
    </row>
    <row r="37" spans="1:36" s="18" customFormat="1" ht="15.75">
      <c r="A37" s="98" t="s">
        <v>16</v>
      </c>
      <c r="B37" s="97">
        <v>1713.7</v>
      </c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494.9</v>
      </c>
      <c r="Q37" s="72"/>
      <c r="R37" s="72"/>
      <c r="S37" s="72"/>
      <c r="T37" s="72">
        <v>450.8</v>
      </c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945.7</v>
      </c>
      <c r="AH37" s="72">
        <f t="shared" si="6"/>
        <v>768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214.20000000000027</v>
      </c>
      <c r="C39" s="97">
        <v>112.20000000000016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0.2999999999999998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2.2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0.30000000000001137</v>
      </c>
      <c r="Q39" s="72">
        <f t="shared" si="7"/>
        <v>0</v>
      </c>
      <c r="R39" s="72">
        <f t="shared" si="7"/>
        <v>0</v>
      </c>
      <c r="S39" s="72">
        <f t="shared" si="7"/>
        <v>40</v>
      </c>
      <c r="T39" s="72">
        <f t="shared" si="7"/>
        <v>0</v>
      </c>
      <c r="U39" s="72">
        <f t="shared" si="7"/>
        <v>70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112.80000000000001</v>
      </c>
      <c r="AH39" s="72">
        <f>AH33-AH34-AH36-AH38-AH35-AH37</f>
        <v>213.60000000000014</v>
      </c>
      <c r="AJ39" s="21"/>
    </row>
    <row r="40" spans="1:36" s="18" customFormat="1" ht="15" customHeight="1">
      <c r="A40" s="96" t="s">
        <v>29</v>
      </c>
      <c r="B40" s="97">
        <f>1375.3+33.6</f>
        <v>1408.8999999999999</v>
      </c>
      <c r="C40" s="97">
        <v>326.4000000000003</v>
      </c>
      <c r="D40" s="72"/>
      <c r="E40" s="72"/>
      <c r="F40" s="72"/>
      <c r="G40" s="72">
        <v>10.5</v>
      </c>
      <c r="H40" s="72"/>
      <c r="I40" s="72"/>
      <c r="J40" s="72"/>
      <c r="K40" s="72">
        <v>475.1</v>
      </c>
      <c r="L40" s="72"/>
      <c r="M40" s="72"/>
      <c r="N40" s="72"/>
      <c r="O40" s="72"/>
      <c r="P40" s="72"/>
      <c r="Q40" s="72"/>
      <c r="R40" s="72">
        <v>926.2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1411.8000000000002</v>
      </c>
      <c r="AH40" s="72">
        <f aca="true" t="shared" si="8" ref="AH40:AH45">B40+C40-AG40</f>
        <v>323.5</v>
      </c>
      <c r="AJ40" s="21"/>
    </row>
    <row r="41" spans="1:36" s="18" customFormat="1" ht="15.75">
      <c r="A41" s="98" t="s">
        <v>5</v>
      </c>
      <c r="B41" s="97">
        <v>1322.6</v>
      </c>
      <c r="C41" s="97">
        <v>152.1999999999996</v>
      </c>
      <c r="D41" s="72"/>
      <c r="E41" s="72"/>
      <c r="F41" s="72"/>
      <c r="G41" s="72"/>
      <c r="H41" s="72"/>
      <c r="I41" s="72"/>
      <c r="J41" s="72"/>
      <c r="K41" s="72">
        <v>449.3</v>
      </c>
      <c r="L41" s="72"/>
      <c r="M41" s="72"/>
      <c r="N41" s="72"/>
      <c r="O41" s="72"/>
      <c r="P41" s="72"/>
      <c r="Q41" s="72"/>
      <c r="R41" s="72">
        <v>922.6</v>
      </c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1371.9</v>
      </c>
      <c r="AH41" s="72">
        <f t="shared" si="8"/>
        <v>102.89999999999941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3.8000000000000025</v>
      </c>
      <c r="D43" s="72"/>
      <c r="E43" s="72"/>
      <c r="F43" s="72"/>
      <c r="G43" s="72"/>
      <c r="H43" s="72"/>
      <c r="I43" s="72"/>
      <c r="J43" s="72"/>
      <c r="K43" s="72">
        <v>10.6</v>
      </c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10.6</v>
      </c>
      <c r="AH43" s="72">
        <f t="shared" si="8"/>
        <v>4.0000000000000036</v>
      </c>
      <c r="AJ43" s="21"/>
    </row>
    <row r="44" spans="1:36" s="18" customFormat="1" ht="15.75">
      <c r="A44" s="98" t="s">
        <v>2</v>
      </c>
      <c r="B44" s="97">
        <v>8.3</v>
      </c>
      <c r="C44" s="97">
        <v>160.50000000000006</v>
      </c>
      <c r="D44" s="72"/>
      <c r="E44" s="72"/>
      <c r="F44" s="72"/>
      <c r="G44" s="72">
        <v>3.9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3.9</v>
      </c>
      <c r="AH44" s="72">
        <f t="shared" si="8"/>
        <v>164.90000000000006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67.19999999999996</v>
      </c>
      <c r="C46" s="97">
        <v>9.000000000000654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6.6</v>
      </c>
      <c r="H46" s="72">
        <f>H40-H41-H42-H43-H44-H45</f>
        <v>0</v>
      </c>
      <c r="I46" s="72">
        <f t="shared" si="9"/>
        <v>0</v>
      </c>
      <c r="J46" s="72">
        <f t="shared" si="9"/>
        <v>0</v>
      </c>
      <c r="K46" s="72">
        <f t="shared" si="9"/>
        <v>15.200000000000012</v>
      </c>
      <c r="L46" s="72">
        <f t="shared" si="9"/>
        <v>0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3.6000000000000227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25.400000000000034</v>
      </c>
      <c r="AH46" s="72">
        <f>AH40-AH41-AH42-AH43-AH44-AH45</f>
        <v>50.80000000000052</v>
      </c>
      <c r="AJ46" s="21"/>
    </row>
    <row r="47" spans="1:36" s="18" customFormat="1" ht="17.25" customHeight="1">
      <c r="A47" s="96" t="s">
        <v>43</v>
      </c>
      <c r="B47" s="99">
        <f>8722.9+7.6-1900</f>
        <v>6830.5</v>
      </c>
      <c r="C47" s="97">
        <v>2101.7000000000016</v>
      </c>
      <c r="D47" s="72"/>
      <c r="E47" s="80"/>
      <c r="F47" s="80">
        <v>55.4</v>
      </c>
      <c r="G47" s="80">
        <v>2219.8</v>
      </c>
      <c r="H47" s="80">
        <v>21.1</v>
      </c>
      <c r="I47" s="80">
        <v>622.2</v>
      </c>
      <c r="J47" s="80">
        <v>60.7</v>
      </c>
      <c r="K47" s="80"/>
      <c r="L47" s="80"/>
      <c r="M47" s="80">
        <v>180.9</v>
      </c>
      <c r="N47" s="80">
        <v>79.2</v>
      </c>
      <c r="O47" s="80">
        <v>0.6</v>
      </c>
      <c r="P47" s="80">
        <v>1710.9</v>
      </c>
      <c r="Q47" s="80">
        <v>116.5</v>
      </c>
      <c r="R47" s="80">
        <v>38.5</v>
      </c>
      <c r="S47" s="80">
        <v>30.7</v>
      </c>
      <c r="T47" s="80">
        <v>610.3</v>
      </c>
      <c r="U47" s="80">
        <v>196.5</v>
      </c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72">
        <f t="shared" si="1"/>
        <v>5943.299999999999</v>
      </c>
      <c r="AH47" s="72">
        <f>B47+C47-AG47</f>
        <v>2988.9000000000015</v>
      </c>
      <c r="AJ47" s="21"/>
    </row>
    <row r="48" spans="1:36" s="18" customFormat="1" ht="15.75">
      <c r="A48" s="98" t="s">
        <v>5</v>
      </c>
      <c r="B48" s="97">
        <v>54.4</v>
      </c>
      <c r="C48" s="97">
        <v>97.40000000000003</v>
      </c>
      <c r="D48" s="72"/>
      <c r="E48" s="80"/>
      <c r="F48" s="80"/>
      <c r="G48" s="80"/>
      <c r="H48" s="80"/>
      <c r="I48" s="80"/>
      <c r="J48" s="80"/>
      <c r="K48" s="80"/>
      <c r="L48" s="80"/>
      <c r="M48" s="80">
        <v>27</v>
      </c>
      <c r="N48" s="80"/>
      <c r="O48" s="80"/>
      <c r="P48" s="80"/>
      <c r="Q48" s="80"/>
      <c r="R48" s="80"/>
      <c r="S48" s="80"/>
      <c r="T48" s="80"/>
      <c r="U48" s="80">
        <v>20.5</v>
      </c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47.5</v>
      </c>
      <c r="AH48" s="72">
        <f>B48+C48-AG48</f>
        <v>104.30000000000004</v>
      </c>
      <c r="AJ48" s="21"/>
    </row>
    <row r="49" spans="1:36" s="18" customFormat="1" ht="15.75">
      <c r="A49" s="98" t="s">
        <v>16</v>
      </c>
      <c r="B49" s="97">
        <f>7342.7+7.6-1900</f>
        <v>5450.3</v>
      </c>
      <c r="C49" s="97">
        <v>1267.5000000000027</v>
      </c>
      <c r="D49" s="72"/>
      <c r="E49" s="72"/>
      <c r="F49" s="72"/>
      <c r="G49" s="72">
        <v>2219.7</v>
      </c>
      <c r="H49" s="72"/>
      <c r="I49" s="72">
        <v>82.3</v>
      </c>
      <c r="J49" s="72">
        <f>9+44.4</f>
        <v>53.4</v>
      </c>
      <c r="K49" s="72"/>
      <c r="L49" s="72"/>
      <c r="M49" s="72">
        <v>153.9</v>
      </c>
      <c r="N49" s="72">
        <v>45.7</v>
      </c>
      <c r="O49" s="72"/>
      <c r="P49" s="72">
        <v>1710.9</v>
      </c>
      <c r="Q49" s="72">
        <v>42.2</v>
      </c>
      <c r="R49" s="72">
        <v>24.3</v>
      </c>
      <c r="S49" s="72">
        <f>12.9+4.5</f>
        <v>17.4</v>
      </c>
      <c r="T49" s="72">
        <v>70.5</v>
      </c>
      <c r="U49" s="72">
        <v>176</v>
      </c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>
        <f t="shared" si="1"/>
        <v>4596.299999999999</v>
      </c>
      <c r="AH49" s="72">
        <f>B49+C49-AG49</f>
        <v>2121.5000000000036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1325.8000000000002</v>
      </c>
      <c r="C51" s="97">
        <v>736.7999999999988</v>
      </c>
      <c r="D51" s="72">
        <f t="shared" si="10"/>
        <v>0</v>
      </c>
      <c r="E51" s="72">
        <f t="shared" si="10"/>
        <v>0</v>
      </c>
      <c r="F51" s="72">
        <f t="shared" si="10"/>
        <v>55.4</v>
      </c>
      <c r="G51" s="72">
        <f t="shared" si="10"/>
        <v>0.1000000000003638</v>
      </c>
      <c r="H51" s="72">
        <f>H47-H48-H49</f>
        <v>21.1</v>
      </c>
      <c r="I51" s="72">
        <f t="shared" si="10"/>
        <v>539.9000000000001</v>
      </c>
      <c r="J51" s="72">
        <f t="shared" si="10"/>
        <v>7.300000000000004</v>
      </c>
      <c r="K51" s="72">
        <f t="shared" si="10"/>
        <v>0</v>
      </c>
      <c r="L51" s="72">
        <f t="shared" si="10"/>
        <v>0</v>
      </c>
      <c r="M51" s="72">
        <f t="shared" si="10"/>
        <v>0</v>
      </c>
      <c r="N51" s="72">
        <f t="shared" si="10"/>
        <v>33.5</v>
      </c>
      <c r="O51" s="72">
        <f t="shared" si="10"/>
        <v>0.6</v>
      </c>
      <c r="P51" s="72">
        <f t="shared" si="10"/>
        <v>0</v>
      </c>
      <c r="Q51" s="72">
        <f t="shared" si="10"/>
        <v>74.3</v>
      </c>
      <c r="R51" s="72">
        <f t="shared" si="10"/>
        <v>14.2</v>
      </c>
      <c r="S51" s="72">
        <f t="shared" si="10"/>
        <v>13.3</v>
      </c>
      <c r="T51" s="72">
        <f t="shared" si="10"/>
        <v>539.8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1299.5000000000005</v>
      </c>
      <c r="AH51" s="72">
        <f>AH47-AH49-AH48</f>
        <v>763.0999999999977</v>
      </c>
      <c r="AJ51" s="21"/>
    </row>
    <row r="52" spans="1:36" s="18" customFormat="1" ht="15" customHeight="1">
      <c r="A52" s="96" t="s">
        <v>0</v>
      </c>
      <c r="B52" s="97">
        <f>9196.1-140-760+1174-895</f>
        <v>8575.1</v>
      </c>
      <c r="C52" s="97">
        <v>2021.4999999999964</v>
      </c>
      <c r="D52" s="72"/>
      <c r="E52" s="72"/>
      <c r="F52" s="72"/>
      <c r="G52" s="72">
        <v>2164.2</v>
      </c>
      <c r="H52" s="72">
        <v>954.8</v>
      </c>
      <c r="I52" s="72"/>
      <c r="J52" s="72"/>
      <c r="K52" s="72">
        <v>1228.8</v>
      </c>
      <c r="L52" s="72">
        <v>864.1</v>
      </c>
      <c r="M52" s="72">
        <v>150.9</v>
      </c>
      <c r="N52" s="72"/>
      <c r="O52" s="72"/>
      <c r="P52" s="72"/>
      <c r="Q52" s="72">
        <v>537.9</v>
      </c>
      <c r="R52" s="72">
        <v>202.2</v>
      </c>
      <c r="S52" s="72">
        <v>1664.5</v>
      </c>
      <c r="T52" s="72">
        <v>-161</v>
      </c>
      <c r="U52" s="72">
        <v>3.2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7609.599999999999</v>
      </c>
      <c r="AH52" s="72">
        <f aca="true" t="shared" si="11" ref="AH52:AH59">B52+C52-AG52</f>
        <v>2986.9999999999973</v>
      </c>
      <c r="AJ52" s="21"/>
    </row>
    <row r="53" spans="1:36" s="18" customFormat="1" ht="15" customHeight="1">
      <c r="A53" s="98" t="s">
        <v>2</v>
      </c>
      <c r="B53" s="97">
        <f>1042.3+60</f>
        <v>1102.3</v>
      </c>
      <c r="C53" s="97">
        <v>152.59999999999968</v>
      </c>
      <c r="D53" s="72"/>
      <c r="E53" s="72"/>
      <c r="F53" s="72"/>
      <c r="G53" s="72"/>
      <c r="H53" s="72">
        <v>907.4</v>
      </c>
      <c r="I53" s="72"/>
      <c r="J53" s="72"/>
      <c r="K53" s="72">
        <v>167.5</v>
      </c>
      <c r="L53" s="72"/>
      <c r="M53" s="72">
        <v>105.4</v>
      </c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1180.3000000000002</v>
      </c>
      <c r="AH53" s="72">
        <f t="shared" si="11"/>
        <v>74.59999999999945</v>
      </c>
      <c r="AJ53" s="21"/>
    </row>
    <row r="54" spans="1:36" s="18" customFormat="1" ht="15" customHeight="1">
      <c r="A54" s="96" t="s">
        <v>9</v>
      </c>
      <c r="B54" s="105">
        <v>1962.1</v>
      </c>
      <c r="C54" s="97">
        <v>1210.5</v>
      </c>
      <c r="D54" s="72"/>
      <c r="E54" s="72"/>
      <c r="F54" s="72">
        <v>185.8</v>
      </c>
      <c r="G54" s="72"/>
      <c r="H54" s="72">
        <v>299.1</v>
      </c>
      <c r="I54" s="72"/>
      <c r="J54" s="72"/>
      <c r="K54" s="72"/>
      <c r="L54" s="72"/>
      <c r="M54" s="72">
        <f>484.9</f>
        <v>484.9</v>
      </c>
      <c r="N54" s="72"/>
      <c r="O54" s="72">
        <v>0.1</v>
      </c>
      <c r="P54" s="72">
        <v>137</v>
      </c>
      <c r="Q54" s="72">
        <v>69.6</v>
      </c>
      <c r="R54" s="72"/>
      <c r="S54" s="72">
        <v>800.9</v>
      </c>
      <c r="T54" s="72">
        <v>7.9</v>
      </c>
      <c r="U54" s="72">
        <v>19.1</v>
      </c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>
        <f t="shared" si="1"/>
        <v>2004.4</v>
      </c>
      <c r="AH54" s="72">
        <f t="shared" si="11"/>
        <v>1168.1999999999998</v>
      </c>
      <c r="AI54" s="21"/>
      <c r="AJ54" s="21"/>
    </row>
    <row r="55" spans="1:36" s="18" customFormat="1" ht="15.75">
      <c r="A55" s="98" t="s">
        <v>5</v>
      </c>
      <c r="B55" s="97">
        <f>1314.5-1.8</f>
        <v>1312.7</v>
      </c>
      <c r="C55" s="97">
        <v>223.39999999999986</v>
      </c>
      <c r="D55" s="72"/>
      <c r="E55" s="72"/>
      <c r="F55" s="72"/>
      <c r="G55" s="72"/>
      <c r="H55" s="72">
        <v>100.6</v>
      </c>
      <c r="I55" s="72"/>
      <c r="J55" s="72"/>
      <c r="K55" s="72"/>
      <c r="L55" s="72"/>
      <c r="M55" s="72">
        <f>396.6-0.2</f>
        <v>396.40000000000003</v>
      </c>
      <c r="N55" s="72"/>
      <c r="O55" s="72"/>
      <c r="P55" s="72"/>
      <c r="Q55" s="72">
        <v>1.8</v>
      </c>
      <c r="R55" s="72"/>
      <c r="S55" s="72">
        <v>800.9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1299.7</v>
      </c>
      <c r="AH55" s="72">
        <f t="shared" si="11"/>
        <v>236.39999999999986</v>
      </c>
      <c r="AI55" s="21"/>
      <c r="AJ55" s="21"/>
    </row>
    <row r="56" spans="1:36" s="18" customFormat="1" ht="15" customHeight="1">
      <c r="A56" s="98" t="s">
        <v>1</v>
      </c>
      <c r="B56" s="97">
        <v>0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0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f>18.3+1.8+0.3</f>
        <v>20.400000000000002</v>
      </c>
      <c r="C57" s="97">
        <v>239.19999999999993</v>
      </c>
      <c r="D57" s="72"/>
      <c r="E57" s="72"/>
      <c r="F57" s="72"/>
      <c r="G57" s="72"/>
      <c r="H57" s="72"/>
      <c r="I57" s="72"/>
      <c r="J57" s="72"/>
      <c r="K57" s="72"/>
      <c r="L57" s="72"/>
      <c r="M57" s="72">
        <v>70</v>
      </c>
      <c r="N57" s="72"/>
      <c r="O57" s="72">
        <v>0.1</v>
      </c>
      <c r="P57" s="72"/>
      <c r="Q57" s="72"/>
      <c r="R57" s="72"/>
      <c r="S57" s="72"/>
      <c r="T57" s="72">
        <v>0.7</v>
      </c>
      <c r="U57" s="72">
        <v>1.9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72.7</v>
      </c>
      <c r="AH57" s="72">
        <f t="shared" si="11"/>
        <v>186.89999999999992</v>
      </c>
      <c r="AJ57" s="21"/>
    </row>
    <row r="58" spans="1:36" s="18" customFormat="1" ht="15.75">
      <c r="A58" s="98" t="s">
        <v>16</v>
      </c>
      <c r="B58" s="99">
        <v>7</v>
      </c>
      <c r="C58" s="97">
        <v>55.49999999999999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>
        <v>8.7</v>
      </c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8.7</v>
      </c>
      <c r="AH58" s="72">
        <f t="shared" si="11"/>
        <v>53.8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621.9999999999999</v>
      </c>
      <c r="C60" s="97">
        <v>692.4000000000002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198.50000000000003</v>
      </c>
      <c r="I60" s="72">
        <f t="shared" si="12"/>
        <v>0</v>
      </c>
      <c r="J60" s="72">
        <f t="shared" si="12"/>
        <v>0</v>
      </c>
      <c r="K60" s="72">
        <f t="shared" si="12"/>
        <v>0</v>
      </c>
      <c r="L60" s="72">
        <f t="shared" si="12"/>
        <v>0</v>
      </c>
      <c r="M60" s="72">
        <f t="shared" si="12"/>
        <v>18.499999999999943</v>
      </c>
      <c r="N60" s="72">
        <f t="shared" si="12"/>
        <v>0</v>
      </c>
      <c r="O60" s="72">
        <f t="shared" si="12"/>
        <v>0</v>
      </c>
      <c r="P60" s="72">
        <f t="shared" si="12"/>
        <v>137</v>
      </c>
      <c r="Q60" s="72">
        <f t="shared" si="12"/>
        <v>59.099999999999994</v>
      </c>
      <c r="R60" s="72">
        <f t="shared" si="12"/>
        <v>0</v>
      </c>
      <c r="S60" s="72">
        <f t="shared" si="12"/>
        <v>0</v>
      </c>
      <c r="T60" s="72">
        <f t="shared" si="12"/>
        <v>7.2</v>
      </c>
      <c r="U60" s="72">
        <f t="shared" si="12"/>
        <v>17.200000000000003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623.3</v>
      </c>
      <c r="AH60" s="72">
        <f>AH54-AH55-AH57-AH59-AH56-AH58</f>
        <v>691.1000000000001</v>
      </c>
      <c r="AJ60" s="21"/>
    </row>
    <row r="61" spans="1:36" s="18" customFormat="1" ht="15" customHeight="1">
      <c r="A61" s="96" t="s">
        <v>10</v>
      </c>
      <c r="B61" s="97">
        <v>89</v>
      </c>
      <c r="C61" s="97">
        <v>33.69999999999999</v>
      </c>
      <c r="D61" s="72"/>
      <c r="E61" s="72"/>
      <c r="F61" s="72"/>
      <c r="G61" s="72">
        <v>16.2</v>
      </c>
      <c r="H61" s="72"/>
      <c r="I61" s="72">
        <v>27.7</v>
      </c>
      <c r="J61" s="72">
        <v>2</v>
      </c>
      <c r="K61" s="72">
        <v>2</v>
      </c>
      <c r="L61" s="72"/>
      <c r="M61" s="72"/>
      <c r="N61" s="72">
        <v>2</v>
      </c>
      <c r="O61" s="72"/>
      <c r="P61" s="72"/>
      <c r="Q61" s="72"/>
      <c r="R61" s="72">
        <v>5.5</v>
      </c>
      <c r="S61" s="72"/>
      <c r="T61" s="72">
        <v>4</v>
      </c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59.4</v>
      </c>
      <c r="AH61" s="72">
        <f aca="true" t="shared" si="14" ref="AH61:AH67">B61+C61-AG61</f>
        <v>63.29999999999999</v>
      </c>
      <c r="AJ61" s="21"/>
    </row>
    <row r="62" spans="1:36" s="18" customFormat="1" ht="15" customHeight="1">
      <c r="A62" s="96" t="s">
        <v>11</v>
      </c>
      <c r="B62" s="97">
        <f>5271.3-917.2</f>
        <v>4354.1</v>
      </c>
      <c r="C62" s="97">
        <v>5557</v>
      </c>
      <c r="D62" s="72"/>
      <c r="E62" s="72">
        <v>7.4</v>
      </c>
      <c r="F62" s="72"/>
      <c r="G62" s="72">
        <v>82.9</v>
      </c>
      <c r="H62" s="72"/>
      <c r="I62" s="72"/>
      <c r="J62" s="72"/>
      <c r="K62" s="72">
        <v>1256.8</v>
      </c>
      <c r="L62" s="72">
        <v>170.3</v>
      </c>
      <c r="M62" s="72"/>
      <c r="N62" s="72">
        <v>0.1</v>
      </c>
      <c r="O62" s="72"/>
      <c r="P62" s="72"/>
      <c r="Q62" s="72">
        <v>371.9</v>
      </c>
      <c r="R62" s="72"/>
      <c r="S62" s="72">
        <v>2726.2</v>
      </c>
      <c r="T62" s="72">
        <v>63</v>
      </c>
      <c r="U62" s="72">
        <v>78.1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>
        <f t="shared" si="13"/>
        <v>4756.7</v>
      </c>
      <c r="AH62" s="72">
        <f t="shared" si="14"/>
        <v>5154.400000000001</v>
      </c>
      <c r="AJ62" s="21"/>
    </row>
    <row r="63" spans="1:36" s="18" customFormat="1" ht="15.75">
      <c r="A63" s="98" t="s">
        <v>5</v>
      </c>
      <c r="B63" s="97">
        <f>2779.2-4.5</f>
        <v>2774.7</v>
      </c>
      <c r="C63" s="97">
        <v>1372</v>
      </c>
      <c r="D63" s="72"/>
      <c r="E63" s="72">
        <v>7.4</v>
      </c>
      <c r="F63" s="72"/>
      <c r="G63" s="72"/>
      <c r="H63" s="72"/>
      <c r="I63" s="72"/>
      <c r="J63" s="72"/>
      <c r="K63" s="72">
        <f>1036.6-0.2</f>
        <v>1036.3999999999999</v>
      </c>
      <c r="L63" s="72"/>
      <c r="M63" s="72"/>
      <c r="N63" s="72"/>
      <c r="O63" s="72"/>
      <c r="P63" s="72"/>
      <c r="Q63" s="72"/>
      <c r="R63" s="72"/>
      <c r="S63" s="72">
        <v>2347.5</v>
      </c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3391.3</v>
      </c>
      <c r="AH63" s="72">
        <f t="shared" si="14"/>
        <v>755.3999999999996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v>288.9</v>
      </c>
      <c r="C65" s="97">
        <v>605.3000000000001</v>
      </c>
      <c r="D65" s="72"/>
      <c r="E65" s="72"/>
      <c r="F65" s="72"/>
      <c r="G65" s="72">
        <f>43.7+0.4</f>
        <v>44.1</v>
      </c>
      <c r="H65" s="72"/>
      <c r="I65" s="72"/>
      <c r="J65" s="72"/>
      <c r="K65" s="72">
        <v>5.9</v>
      </c>
      <c r="L65" s="72"/>
      <c r="M65" s="72"/>
      <c r="N65" s="72"/>
      <c r="O65" s="72"/>
      <c r="P65" s="72"/>
      <c r="Q65" s="72">
        <v>35.5</v>
      </c>
      <c r="R65" s="72"/>
      <c r="S65" s="72">
        <v>6.2</v>
      </c>
      <c r="T65" s="72"/>
      <c r="U65" s="72">
        <v>57</v>
      </c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>
        <f t="shared" si="13"/>
        <v>148.7</v>
      </c>
      <c r="AH65" s="72">
        <f t="shared" si="14"/>
        <v>745.5</v>
      </c>
      <c r="AI65" s="21"/>
      <c r="AJ65" s="21"/>
    </row>
    <row r="66" spans="1:36" s="18" customFormat="1" ht="15.75">
      <c r="A66" s="98" t="s">
        <v>2</v>
      </c>
      <c r="B66" s="97">
        <f>32.5+4.5</f>
        <v>37</v>
      </c>
      <c r="C66" s="97">
        <v>98.89999999999999</v>
      </c>
      <c r="D66" s="72"/>
      <c r="E66" s="72"/>
      <c r="F66" s="72"/>
      <c r="G66" s="72">
        <v>14.3</v>
      </c>
      <c r="H66" s="72"/>
      <c r="I66" s="72"/>
      <c r="J66" s="72"/>
      <c r="K66" s="72">
        <v>2.9</v>
      </c>
      <c r="L66" s="72">
        <v>3.7</v>
      </c>
      <c r="M66" s="72"/>
      <c r="N66" s="72">
        <v>0.1</v>
      </c>
      <c r="O66" s="72"/>
      <c r="P66" s="72"/>
      <c r="Q66" s="72">
        <v>2.9</v>
      </c>
      <c r="R66" s="72"/>
      <c r="S66" s="72"/>
      <c r="T66" s="72"/>
      <c r="U66" s="72">
        <v>7.3</v>
      </c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31.2</v>
      </c>
      <c r="AH66" s="72">
        <f t="shared" si="14"/>
        <v>104.69999999999997</v>
      </c>
      <c r="AJ66" s="21"/>
    </row>
    <row r="67" spans="1:36" s="18" customFormat="1" ht="15.75">
      <c r="A67" s="98" t="s">
        <v>16</v>
      </c>
      <c r="B67" s="97">
        <f>308-60.3</f>
        <v>247.7</v>
      </c>
      <c r="C67" s="97">
        <v>565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245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567.7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1005.8000000000005</v>
      </c>
      <c r="C68" s="97">
        <v>2915.7999999999997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24.500000000000007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211.60000000000008</v>
      </c>
      <c r="L68" s="72">
        <f t="shared" si="15"/>
        <v>166.60000000000002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88.5</v>
      </c>
      <c r="R68" s="72">
        <f t="shared" si="15"/>
        <v>0</v>
      </c>
      <c r="S68" s="72">
        <f t="shared" si="15"/>
        <v>372.49999999999983</v>
      </c>
      <c r="T68" s="72">
        <f t="shared" si="15"/>
        <v>63</v>
      </c>
      <c r="U68" s="72">
        <f t="shared" si="15"/>
        <v>13.799999999999997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940.4999999999999</v>
      </c>
      <c r="AH68" s="72">
        <f>AH62-AH63-AH66-AH67-AH65-AH64</f>
        <v>2981.1000000000013</v>
      </c>
      <c r="AJ68" s="21"/>
    </row>
    <row r="69" spans="1:36" s="18" customFormat="1" ht="31.5">
      <c r="A69" s="96" t="s">
        <v>45</v>
      </c>
      <c r="B69" s="97">
        <v>1785</v>
      </c>
      <c r="C69" s="97">
        <v>1.7000000000000455</v>
      </c>
      <c r="D69" s="72"/>
      <c r="E69" s="72"/>
      <c r="F69" s="72"/>
      <c r="G69" s="72">
        <v>988.1</v>
      </c>
      <c r="H69" s="72"/>
      <c r="I69" s="72"/>
      <c r="J69" s="72"/>
      <c r="K69" s="72"/>
      <c r="L69" s="72"/>
      <c r="M69" s="72"/>
      <c r="N69" s="72"/>
      <c r="O69" s="72"/>
      <c r="P69" s="72">
        <v>754.9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1743</v>
      </c>
      <c r="AH69" s="89">
        <f aca="true" t="shared" si="16" ref="AH69:AH92">B69+C69-AG69</f>
        <v>43.700000000000045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2436.5-200</f>
        <v>2236.5</v>
      </c>
      <c r="C71" s="109">
        <v>232.9000000000001</v>
      </c>
      <c r="D71" s="80"/>
      <c r="E71" s="80"/>
      <c r="F71" s="80"/>
      <c r="G71" s="80">
        <v>1510.5</v>
      </c>
      <c r="H71" s="80"/>
      <c r="I71" s="80"/>
      <c r="J71" s="80">
        <v>423.8</v>
      </c>
      <c r="K71" s="80"/>
      <c r="L71" s="80"/>
      <c r="M71" s="80"/>
      <c r="N71" s="80"/>
      <c r="O71" s="80"/>
      <c r="P71" s="80"/>
      <c r="Q71" s="80"/>
      <c r="R71" s="80"/>
      <c r="S71" s="80">
        <v>77.7</v>
      </c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2012</v>
      </c>
      <c r="AH71" s="89">
        <f t="shared" si="16"/>
        <v>457.4000000000001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1504.3-43.5</f>
        <v>1460.8</v>
      </c>
      <c r="C72" s="97">
        <v>2201.5</v>
      </c>
      <c r="D72" s="72"/>
      <c r="E72" s="72"/>
      <c r="F72" s="72">
        <v>145.2</v>
      </c>
      <c r="G72" s="72">
        <f>1.4+5.3+1.1</f>
        <v>7.799999999999999</v>
      </c>
      <c r="H72" s="72">
        <v>44.7</v>
      </c>
      <c r="I72" s="72">
        <v>1.23462</v>
      </c>
      <c r="J72" s="72">
        <v>63.6</v>
      </c>
      <c r="K72" s="72">
        <f>247.7-92.9</f>
        <v>154.79999999999998</v>
      </c>
      <c r="L72" s="72">
        <v>0.7</v>
      </c>
      <c r="M72" s="72"/>
      <c r="N72" s="72">
        <f>7.2+13</f>
        <v>20.2</v>
      </c>
      <c r="O72" s="72">
        <v>17.4</v>
      </c>
      <c r="P72" s="72">
        <v>26.3</v>
      </c>
      <c r="Q72" s="72"/>
      <c r="R72" s="72">
        <v>161.6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643.5346199999999</v>
      </c>
      <c r="AH72" s="89">
        <f t="shared" si="16"/>
        <v>3018.7653800000003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31+88</f>
        <v>119</v>
      </c>
      <c r="C74" s="97">
        <v>530</v>
      </c>
      <c r="D74" s="72"/>
      <c r="E74" s="72"/>
      <c r="F74" s="72">
        <v>35.5</v>
      </c>
      <c r="G74" s="72"/>
      <c r="H74" s="72">
        <v>14.8</v>
      </c>
      <c r="I74" s="72">
        <v>1.23462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51.53462</v>
      </c>
      <c r="AH74" s="89">
        <f t="shared" si="16"/>
        <v>597.46538</v>
      </c>
      <c r="AJ74" s="21"/>
    </row>
    <row r="75" spans="1:36" s="18" customFormat="1" ht="15" customHeight="1">
      <c r="A75" s="98" t="s">
        <v>16</v>
      </c>
      <c r="B75" s="97">
        <f>15+65.6+0.7</f>
        <v>81.3</v>
      </c>
      <c r="C75" s="97">
        <v>50.4</v>
      </c>
      <c r="D75" s="72"/>
      <c r="E75" s="72"/>
      <c r="F75" s="72"/>
      <c r="G75" s="72"/>
      <c r="H75" s="72"/>
      <c r="I75" s="72"/>
      <c r="J75" s="72">
        <v>1.3</v>
      </c>
      <c r="K75" s="72"/>
      <c r="L75" s="72">
        <v>0.7</v>
      </c>
      <c r="M75" s="72"/>
      <c r="N75" s="72"/>
      <c r="O75" s="72">
        <v>0.4</v>
      </c>
      <c r="P75" s="72"/>
      <c r="Q75" s="72"/>
      <c r="R75" s="72">
        <v>7.7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10.1</v>
      </c>
      <c r="AH75" s="89">
        <f t="shared" si="16"/>
        <v>121.6</v>
      </c>
      <c r="AJ75" s="21"/>
    </row>
    <row r="76" spans="1:36" s="112" customFormat="1" ht="15.75">
      <c r="A76" s="111" t="s">
        <v>48</v>
      </c>
      <c r="B76" s="97">
        <f>86+254.4</f>
        <v>340.4</v>
      </c>
      <c r="C76" s="97">
        <v>33.69999999999999</v>
      </c>
      <c r="D76" s="72"/>
      <c r="E76" s="80"/>
      <c r="F76" s="80"/>
      <c r="G76" s="80"/>
      <c r="H76" s="80"/>
      <c r="I76" s="80"/>
      <c r="J76" s="80"/>
      <c r="K76" s="80">
        <v>92.9</v>
      </c>
      <c r="L76" s="80"/>
      <c r="M76" s="80"/>
      <c r="N76" s="80">
        <v>54.4</v>
      </c>
      <c r="O76" s="80">
        <v>15.9</v>
      </c>
      <c r="P76" s="80"/>
      <c r="Q76" s="80"/>
      <c r="R76" s="80"/>
      <c r="S76" s="80">
        <v>167.1</v>
      </c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330.3</v>
      </c>
      <c r="AH76" s="89">
        <f t="shared" si="16"/>
        <v>43.799999999999955</v>
      </c>
      <c r="AJ76" s="21"/>
    </row>
    <row r="77" spans="1:36" s="112" customFormat="1" ht="15.75">
      <c r="A77" s="98" t="s">
        <v>5</v>
      </c>
      <c r="B77" s="97">
        <v>207.4</v>
      </c>
      <c r="C77" s="97">
        <v>7.899999999999977</v>
      </c>
      <c r="D77" s="72"/>
      <c r="E77" s="80"/>
      <c r="F77" s="80"/>
      <c r="G77" s="80"/>
      <c r="H77" s="80"/>
      <c r="I77" s="80"/>
      <c r="J77" s="80"/>
      <c r="K77" s="80">
        <v>83.7</v>
      </c>
      <c r="L77" s="80"/>
      <c r="M77" s="80"/>
      <c r="N77" s="80"/>
      <c r="O77" s="80"/>
      <c r="P77" s="80"/>
      <c r="Q77" s="80"/>
      <c r="R77" s="80"/>
      <c r="S77" s="80">
        <v>114.7</v>
      </c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198.4</v>
      </c>
      <c r="AH77" s="89">
        <f t="shared" si="16"/>
        <v>16.899999999999977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2.4000000000000012</v>
      </c>
      <c r="D80" s="72"/>
      <c r="E80" s="80"/>
      <c r="F80" s="80"/>
      <c r="G80" s="80"/>
      <c r="H80" s="80"/>
      <c r="I80" s="80"/>
      <c r="J80" s="80"/>
      <c r="K80" s="80">
        <v>1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1</v>
      </c>
      <c r="AH80" s="89">
        <f t="shared" si="16"/>
        <v>2.0000000000000013</v>
      </c>
      <c r="AJ80" s="21"/>
    </row>
    <row r="81" spans="1:36" s="112" customFormat="1" ht="15.75">
      <c r="A81" s="111" t="s">
        <v>49</v>
      </c>
      <c r="B81" s="97">
        <v>25.8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>
        <v>25.8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25.8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9332.9+960+3726+895</f>
        <v>14913.9</v>
      </c>
      <c r="C89" s="97">
        <v>1335.3000000000102</v>
      </c>
      <c r="D89" s="72"/>
      <c r="E89" s="72"/>
      <c r="F89" s="72"/>
      <c r="G89" s="72">
        <v>1565.1</v>
      </c>
      <c r="H89" s="72">
        <v>3028</v>
      </c>
      <c r="I89" s="72">
        <v>858.1</v>
      </c>
      <c r="J89" s="72"/>
      <c r="K89" s="72">
        <v>427.6</v>
      </c>
      <c r="L89" s="72"/>
      <c r="M89" s="72"/>
      <c r="N89" s="72"/>
      <c r="O89" s="72">
        <v>997.7</v>
      </c>
      <c r="P89" s="72">
        <v>2068.4</v>
      </c>
      <c r="Q89" s="72">
        <v>886.3</v>
      </c>
      <c r="R89" s="72">
        <v>1119.7</v>
      </c>
      <c r="S89" s="72">
        <v>4088.5</v>
      </c>
      <c r="T89" s="72"/>
      <c r="U89" s="72">
        <v>381.3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15420.7</v>
      </c>
      <c r="AH89" s="72">
        <f t="shared" si="16"/>
        <v>828.5000000000091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>
        <v>1886.8</v>
      </c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0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f>61+6554+376.8</f>
        <v>6991.8</v>
      </c>
      <c r="C92" s="97">
        <v>11.7</v>
      </c>
      <c r="D92" s="72"/>
      <c r="E92" s="72"/>
      <c r="F92" s="72"/>
      <c r="G92" s="72"/>
      <c r="H92" s="72"/>
      <c r="I92" s="72"/>
      <c r="J92" s="72">
        <v>6615</v>
      </c>
      <c r="K92" s="72"/>
      <c r="L92" s="72"/>
      <c r="M92" s="72"/>
      <c r="N92" s="72"/>
      <c r="O92" s="72">
        <v>376.8</v>
      </c>
      <c r="P92" s="72"/>
      <c r="Q92" s="72"/>
      <c r="R92" s="72"/>
      <c r="S92" s="72"/>
      <c r="T92" s="72">
        <v>-14608.8</v>
      </c>
      <c r="U92" s="72"/>
      <c r="V92" s="72">
        <v>14620.5</v>
      </c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7003.500000000001</v>
      </c>
      <c r="AH92" s="72">
        <f t="shared" si="16"/>
        <v>0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219183.89999999997</v>
      </c>
      <c r="C94" s="136">
        <f t="shared" si="17"/>
        <v>79954.2</v>
      </c>
      <c r="D94" s="91">
        <f t="shared" si="17"/>
        <v>0</v>
      </c>
      <c r="E94" s="91">
        <f t="shared" si="17"/>
        <v>254.4</v>
      </c>
      <c r="F94" s="91">
        <f t="shared" si="17"/>
        <v>3045.7</v>
      </c>
      <c r="G94" s="91">
        <f t="shared" si="17"/>
        <v>9565.8</v>
      </c>
      <c r="H94" s="91">
        <f>H10+H15+H24+H33+H47+H52+H54+H61+H62+H69+H71+H72+H76+H81+H82+H83+H88+H89+H90+H91+H40+H92+H70</f>
        <v>5999.699999999999</v>
      </c>
      <c r="I94" s="91">
        <f t="shared" si="17"/>
        <v>4947.47162</v>
      </c>
      <c r="J94" s="91">
        <f t="shared" si="17"/>
        <v>9309.4</v>
      </c>
      <c r="K94" s="91">
        <f t="shared" si="17"/>
        <v>33398.5</v>
      </c>
      <c r="L94" s="91">
        <f t="shared" si="17"/>
        <v>51394.700000000004</v>
      </c>
      <c r="M94" s="91">
        <f t="shared" si="17"/>
        <v>5278.899999999999</v>
      </c>
      <c r="N94" s="91">
        <f t="shared" si="17"/>
        <v>2657.7999999999997</v>
      </c>
      <c r="O94" s="91">
        <f t="shared" si="17"/>
        <v>2062.5</v>
      </c>
      <c r="P94" s="91">
        <f t="shared" si="17"/>
        <v>5695.3</v>
      </c>
      <c r="Q94" s="91">
        <f t="shared" si="17"/>
        <v>4019</v>
      </c>
      <c r="R94" s="91">
        <f t="shared" si="17"/>
        <v>4339.4</v>
      </c>
      <c r="S94" s="91">
        <f t="shared" si="17"/>
        <v>47823.69999999999</v>
      </c>
      <c r="T94" s="91">
        <f t="shared" si="17"/>
        <v>15705.400000000001</v>
      </c>
      <c r="U94" s="91">
        <f t="shared" si="17"/>
        <v>9906.7</v>
      </c>
      <c r="V94" s="91">
        <f t="shared" si="17"/>
        <v>16507.3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231911.67161999992</v>
      </c>
      <c r="AH94" s="91">
        <f>AH10+AH15+AH24+AH33+AH47+AH52+AH54+AH61+AH62+AH69+AH71+AH72+AH76+AH81+AH82+AH83+AH88+AH89+AH90+AH91+AH70+AH40+AH92</f>
        <v>67226.42838000007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72">
        <f t="shared" si="18"/>
        <v>0</v>
      </c>
      <c r="E95" s="72">
        <f t="shared" si="18"/>
        <v>252.3</v>
      </c>
      <c r="F95" s="72">
        <f t="shared" si="18"/>
        <v>2486.7999999999997</v>
      </c>
      <c r="G95" s="72">
        <f t="shared" si="18"/>
        <v>122</v>
      </c>
      <c r="H95" s="72">
        <f>H11+H17+H26+H34+H55+H63+H73+H41+H77+H48</f>
        <v>100.6</v>
      </c>
      <c r="I95" s="72">
        <f t="shared" si="18"/>
        <v>0</v>
      </c>
      <c r="J95" s="72">
        <f t="shared" si="18"/>
        <v>32.5</v>
      </c>
      <c r="K95" s="72">
        <f t="shared" si="18"/>
        <v>22449.100000000002</v>
      </c>
      <c r="L95" s="72">
        <f t="shared" si="18"/>
        <v>46395.700000000004</v>
      </c>
      <c r="M95" s="72">
        <f t="shared" si="18"/>
        <v>4022.8</v>
      </c>
      <c r="N95" s="72">
        <f t="shared" si="18"/>
        <v>4.5</v>
      </c>
      <c r="O95" s="72">
        <f t="shared" si="18"/>
        <v>0</v>
      </c>
      <c r="P95" s="72">
        <f t="shared" si="18"/>
        <v>360</v>
      </c>
      <c r="Q95" s="72">
        <f t="shared" si="18"/>
        <v>1.8</v>
      </c>
      <c r="R95" s="72">
        <f t="shared" si="18"/>
        <v>1053.5</v>
      </c>
      <c r="S95" s="72">
        <f t="shared" si="18"/>
        <v>31099.600000000002</v>
      </c>
      <c r="T95" s="72">
        <f t="shared" si="18"/>
        <v>21507.2</v>
      </c>
      <c r="U95" s="72">
        <f t="shared" si="18"/>
        <v>7990.9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137879.30000000002</v>
      </c>
      <c r="AH95" s="72">
        <f>B95+C95-AG95</f>
        <v>17228.55999999997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2629.3</v>
      </c>
      <c r="C96" s="97">
        <f t="shared" si="19"/>
        <v>9384.899999999996</v>
      </c>
      <c r="D96" s="72">
        <f t="shared" si="19"/>
        <v>0</v>
      </c>
      <c r="E96" s="72">
        <f t="shared" si="19"/>
        <v>0</v>
      </c>
      <c r="F96" s="72">
        <f t="shared" si="19"/>
        <v>61.6</v>
      </c>
      <c r="G96" s="72">
        <f t="shared" si="19"/>
        <v>224.00000000000003</v>
      </c>
      <c r="H96" s="72">
        <f>H12+H20+H29+H36+H57+H66+H44+H80+H74+H53</f>
        <v>1720.6</v>
      </c>
      <c r="I96" s="72">
        <f t="shared" si="19"/>
        <v>41.33462</v>
      </c>
      <c r="J96" s="72">
        <f t="shared" si="19"/>
        <v>60.7</v>
      </c>
      <c r="K96" s="72">
        <f t="shared" si="19"/>
        <v>173.1</v>
      </c>
      <c r="L96" s="72">
        <f t="shared" si="19"/>
        <v>405.6</v>
      </c>
      <c r="M96" s="72">
        <f t="shared" si="19"/>
        <v>243.5</v>
      </c>
      <c r="N96" s="72">
        <f t="shared" si="19"/>
        <v>24.900000000000002</v>
      </c>
      <c r="O96" s="72">
        <f t="shared" si="19"/>
        <v>5.699999999999999</v>
      </c>
      <c r="P96" s="72">
        <f t="shared" si="19"/>
        <v>8</v>
      </c>
      <c r="Q96" s="72">
        <f t="shared" si="19"/>
        <v>33.3</v>
      </c>
      <c r="R96" s="72">
        <f t="shared" si="19"/>
        <v>15</v>
      </c>
      <c r="S96" s="72">
        <f t="shared" si="19"/>
        <v>11.6</v>
      </c>
      <c r="T96" s="72">
        <f t="shared" si="19"/>
        <v>52</v>
      </c>
      <c r="U96" s="72">
        <f t="shared" si="19"/>
        <v>9.4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3090.3346199999996</v>
      </c>
      <c r="AH96" s="72">
        <f>B96+C96-AG96</f>
        <v>8923.865379999997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0.1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0.1</v>
      </c>
      <c r="AH97" s="72">
        <f>B97+C97-AG97</f>
        <v>15.500000000000002</v>
      </c>
    </row>
    <row r="98" spans="1:34" s="18" customFormat="1" ht="15.75">
      <c r="A98" s="98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379</v>
      </c>
      <c r="H98" s="72">
        <f>H19+H28+H65+H35+H43+H56+H79</f>
        <v>507.1</v>
      </c>
      <c r="I98" s="72">
        <f t="shared" si="21"/>
        <v>37.5</v>
      </c>
      <c r="J98" s="72">
        <f t="shared" si="21"/>
        <v>42.2</v>
      </c>
      <c r="K98" s="72">
        <f t="shared" si="21"/>
        <v>16.5</v>
      </c>
      <c r="L98" s="72">
        <f t="shared" si="21"/>
        <v>615.4</v>
      </c>
      <c r="M98" s="72">
        <f t="shared" si="21"/>
        <v>261.9</v>
      </c>
      <c r="N98" s="72">
        <f t="shared" si="21"/>
        <v>63.6</v>
      </c>
      <c r="O98" s="72">
        <f t="shared" si="21"/>
        <v>420</v>
      </c>
      <c r="P98" s="72">
        <f t="shared" si="21"/>
        <v>11.8</v>
      </c>
      <c r="Q98" s="72">
        <f t="shared" si="21"/>
        <v>98.2</v>
      </c>
      <c r="R98" s="72">
        <f t="shared" si="21"/>
        <v>271.9</v>
      </c>
      <c r="S98" s="72">
        <f t="shared" si="21"/>
        <v>6.2</v>
      </c>
      <c r="T98" s="72">
        <f t="shared" si="21"/>
        <v>339.3</v>
      </c>
      <c r="U98" s="72">
        <f t="shared" si="21"/>
        <v>409.7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3480.2999999999997</v>
      </c>
      <c r="AH98" s="72">
        <f>B98+C98-AG98</f>
        <v>2604.9999999999995</v>
      </c>
    </row>
    <row r="99" spans="1:34" s="18" customFormat="1" ht="15.75">
      <c r="A99" s="98" t="s">
        <v>16</v>
      </c>
      <c r="B99" s="97">
        <f>B21+B30+B49+B37+B58+B13+B75+B67</f>
        <v>8615.4</v>
      </c>
      <c r="C99" s="97">
        <f aca="true" t="shared" si="22" ref="C99:Y99">C21+C30+C49+C37+C58+C13+C75+C67</f>
        <v>2763.900000000003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2307.8999999999996</v>
      </c>
      <c r="H99" s="72">
        <f>H21+H30+H49+H37+H58+H13+H75+H67</f>
        <v>0</v>
      </c>
      <c r="I99" s="72">
        <f t="shared" si="22"/>
        <v>82.3</v>
      </c>
      <c r="J99" s="72">
        <f t="shared" si="22"/>
        <v>66.2</v>
      </c>
      <c r="K99" s="72">
        <f t="shared" si="22"/>
        <v>0</v>
      </c>
      <c r="L99" s="72">
        <f t="shared" si="22"/>
        <v>0.7</v>
      </c>
      <c r="M99" s="72">
        <f t="shared" si="22"/>
        <v>655.9</v>
      </c>
      <c r="N99" s="72">
        <f t="shared" si="22"/>
        <v>66.7</v>
      </c>
      <c r="O99" s="72">
        <f t="shared" si="22"/>
        <v>0.4</v>
      </c>
      <c r="P99" s="72">
        <f t="shared" si="22"/>
        <v>2205.8</v>
      </c>
      <c r="Q99" s="72">
        <f t="shared" si="22"/>
        <v>295.9</v>
      </c>
      <c r="R99" s="72">
        <f t="shared" si="22"/>
        <v>285.59999999999997</v>
      </c>
      <c r="S99" s="72">
        <f t="shared" si="22"/>
        <v>354.5</v>
      </c>
      <c r="T99" s="72">
        <f t="shared" si="22"/>
        <v>521.3</v>
      </c>
      <c r="U99" s="72">
        <f t="shared" si="22"/>
        <v>289.2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7132.4</v>
      </c>
      <c r="AH99" s="72">
        <f>B99+C99-AG99</f>
        <v>4246.900000000003</v>
      </c>
    </row>
    <row r="100" spans="1:34" ht="12.75">
      <c r="A100" s="1" t="s">
        <v>35</v>
      </c>
      <c r="B100" s="2">
        <f>B94-B95-B96-B97-B98-B99</f>
        <v>81977.59999999999</v>
      </c>
      <c r="C100" s="2">
        <f aca="true" t="shared" si="24" ref="C100:AE100">C94-C95-C96-C97-C98-C99</f>
        <v>32558.240000000005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6532.9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10759.799999999997</v>
      </c>
      <c r="L100" s="84">
        <f t="shared" si="24"/>
        <v>3977.2999999999997</v>
      </c>
      <c r="M100" s="84">
        <f t="shared" si="24"/>
        <v>94.79999999999859</v>
      </c>
      <c r="N100" s="92">
        <f t="shared" si="24"/>
        <v>2498.1</v>
      </c>
      <c r="O100" s="84">
        <f t="shared" si="24"/>
        <v>1636.4</v>
      </c>
      <c r="P100" s="84">
        <f t="shared" si="24"/>
        <v>3109.7</v>
      </c>
      <c r="Q100" s="84">
        <f t="shared" si="24"/>
        <v>3589.7999999999997</v>
      </c>
      <c r="R100" s="84">
        <f t="shared" si="24"/>
        <v>2713.3999999999996</v>
      </c>
      <c r="S100" s="84">
        <f t="shared" si="24"/>
        <v>16351.799999999988</v>
      </c>
      <c r="T100" s="84">
        <f t="shared" si="24"/>
        <v>-6714.4</v>
      </c>
      <c r="U100" s="84">
        <f t="shared" si="24"/>
        <v>1207.500000000001</v>
      </c>
      <c r="V100" s="84">
        <f t="shared" si="24"/>
        <v>16507.3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80329.2369999999</v>
      </c>
      <c r="AH100" s="84">
        <f>AH94-AH95-AH96-AH97-AH98-AH99</f>
        <v>34206.603000000105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8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86"/>
  <sheetViews>
    <sheetView tabSelected="1" zoomScale="70" zoomScaleNormal="70" zoomScalePageLayoutView="0" workbookViewId="0" topLeftCell="A1">
      <pane xSplit="1" ySplit="8" topLeftCell="B5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U52" sqref="U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</row>
    <row r="2" spans="1:34" s="18" customFormat="1" ht="22.5" customHeight="1">
      <c r="A2" s="141" t="s">
        <v>64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65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8</v>
      </c>
      <c r="J4" s="19">
        <v>9</v>
      </c>
      <c r="K4" s="19">
        <v>10</v>
      </c>
      <c r="L4" s="19">
        <v>11</v>
      </c>
      <c r="M4" s="19">
        <v>12</v>
      </c>
      <c r="N4" s="19">
        <v>15</v>
      </c>
      <c r="O4" s="19">
        <v>16</v>
      </c>
      <c r="P4" s="19">
        <v>17</v>
      </c>
      <c r="Q4" s="19">
        <v>18</v>
      </c>
      <c r="R4" s="19">
        <v>19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29120.2</v>
      </c>
      <c r="C7" s="86">
        <v>1603.899999999987</v>
      </c>
      <c r="D7" s="122"/>
      <c r="E7" s="39">
        <v>14560.1</v>
      </c>
      <c r="F7" s="39"/>
      <c r="G7" s="39"/>
      <c r="H7" s="124"/>
      <c r="I7" s="125"/>
      <c r="J7" s="39"/>
      <c r="K7" s="39"/>
      <c r="L7" s="39"/>
      <c r="M7" s="39">
        <v>14560.1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C7+E7+M7-AG16-AG25</f>
        <v>11987.999999999987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91353.1</v>
      </c>
      <c r="C8" s="87">
        <v>28300.3066200002</v>
      </c>
      <c r="D8" s="127">
        <v>15433.8</v>
      </c>
      <c r="E8" s="128">
        <v>3256.1</v>
      </c>
      <c r="F8" s="62">
        <v>3703.8</v>
      </c>
      <c r="G8" s="62">
        <v>3391.5</v>
      </c>
      <c r="H8" s="62">
        <v>6774.6</v>
      </c>
      <c r="I8" s="62">
        <v>18320.1</v>
      </c>
      <c r="J8" s="62">
        <v>9346.5</v>
      </c>
      <c r="K8" s="62">
        <v>4163.1</v>
      </c>
      <c r="L8" s="62">
        <v>3842.9</v>
      </c>
      <c r="M8" s="62">
        <v>2841.4</v>
      </c>
      <c r="N8" s="62">
        <v>6324.3</v>
      </c>
      <c r="O8" s="62">
        <v>12588.8</v>
      </c>
      <c r="P8" s="62">
        <v>5540.3</v>
      </c>
      <c r="Q8" s="62">
        <v>4861.9</v>
      </c>
      <c r="R8" s="62">
        <v>6397.8</v>
      </c>
      <c r="S8" s="62"/>
      <c r="T8" s="63"/>
      <c r="U8" s="63"/>
      <c r="V8" s="62"/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33597.206620000194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189487</v>
      </c>
      <c r="C9" s="132">
        <f t="shared" si="0"/>
        <v>67226.46300000006</v>
      </c>
      <c r="D9" s="90">
        <f t="shared" si="0"/>
        <v>18523</v>
      </c>
      <c r="E9" s="90">
        <f t="shared" si="0"/>
        <v>7287.4</v>
      </c>
      <c r="F9" s="90">
        <f t="shared" si="0"/>
        <v>5701.399999999999</v>
      </c>
      <c r="G9" s="90">
        <f t="shared" si="0"/>
        <v>3391.4</v>
      </c>
      <c r="H9" s="90">
        <f>H10+H15+H24+H33+H47+H52+H54+H61+H62+H71+H72+H88+H76+H81+H83+H82+H69+H89+H90+H91+H70+H40+H92</f>
        <v>7572.599999999999</v>
      </c>
      <c r="I9" s="90">
        <f t="shared" si="0"/>
        <v>17610.3</v>
      </c>
      <c r="J9" s="90">
        <f t="shared" si="0"/>
        <v>1040.1999999999998</v>
      </c>
      <c r="K9" s="90">
        <f t="shared" si="0"/>
        <v>3916.2</v>
      </c>
      <c r="L9" s="90">
        <f t="shared" si="0"/>
        <v>20420.800000000003</v>
      </c>
      <c r="M9" s="90">
        <f t="shared" si="0"/>
        <v>6946.700000000001</v>
      </c>
      <c r="N9" s="90">
        <f t="shared" si="0"/>
        <v>6324.8</v>
      </c>
      <c r="O9" s="90">
        <f t="shared" si="0"/>
        <v>3510.2999999999997</v>
      </c>
      <c r="P9" s="90">
        <f t="shared" si="0"/>
        <v>6793.5</v>
      </c>
      <c r="Q9" s="90">
        <f t="shared" si="0"/>
        <v>4960</v>
      </c>
      <c r="R9" s="90">
        <f t="shared" si="0"/>
        <v>6227.5</v>
      </c>
      <c r="S9" s="90">
        <f t="shared" si="0"/>
        <v>0</v>
      </c>
      <c r="T9" s="90">
        <f t="shared" si="0"/>
        <v>0</v>
      </c>
      <c r="U9" s="90">
        <f t="shared" si="0"/>
        <v>0</v>
      </c>
      <c r="V9" s="90">
        <f t="shared" si="0"/>
        <v>0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120226.09999999999</v>
      </c>
      <c r="AH9" s="90">
        <f>AH10+AH15+AH24+AH33+AH47+AH52+AH54+AH61+AH62+AH71+AH72+AH76+AH88+AH81+AH83+AH82+AH69+AH89+AH91+AH90+AH70+AH40+AH92</f>
        <v>136487.36300000004</v>
      </c>
      <c r="AI9" s="133"/>
      <c r="AJ9" s="133"/>
    </row>
    <row r="10" spans="1:36" s="18" customFormat="1" ht="15.75">
      <c r="A10" s="96" t="s">
        <v>4</v>
      </c>
      <c r="B10" s="97">
        <f>18308.1+568</f>
        <v>18876.1</v>
      </c>
      <c r="C10" s="97">
        <v>6768.299999999999</v>
      </c>
      <c r="D10" s="72"/>
      <c r="E10" s="72">
        <v>816.9</v>
      </c>
      <c r="F10" s="72">
        <v>556.7</v>
      </c>
      <c r="G10" s="72">
        <v>252.7</v>
      </c>
      <c r="H10" s="72">
        <v>47.1</v>
      </c>
      <c r="I10" s="72">
        <v>26.1</v>
      </c>
      <c r="J10" s="72">
        <v>10.5</v>
      </c>
      <c r="K10" s="70">
        <v>1831.8</v>
      </c>
      <c r="L10" s="72">
        <v>362.6</v>
      </c>
      <c r="M10" s="72">
        <v>5112.3</v>
      </c>
      <c r="N10" s="72">
        <v>49.2</v>
      </c>
      <c r="O10" s="72">
        <v>9.1</v>
      </c>
      <c r="P10" s="72">
        <v>4.2</v>
      </c>
      <c r="Q10" s="72">
        <v>67</v>
      </c>
      <c r="R10" s="72">
        <v>56.3</v>
      </c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9202.500000000002</v>
      </c>
      <c r="AH10" s="72">
        <f>B10+C10-AG10</f>
        <v>16441.899999999994</v>
      </c>
      <c r="AJ10" s="21"/>
    </row>
    <row r="11" spans="1:36" s="18" customFormat="1" ht="15.75">
      <c r="A11" s="98" t="s">
        <v>5</v>
      </c>
      <c r="B11" s="97">
        <f>17320.1+477.4</f>
        <v>17797.5</v>
      </c>
      <c r="C11" s="97">
        <v>5430.600000000006</v>
      </c>
      <c r="D11" s="72"/>
      <c r="E11" s="72">
        <v>385.2</v>
      </c>
      <c r="F11" s="72">
        <v>462.1</v>
      </c>
      <c r="G11" s="72">
        <v>247.2</v>
      </c>
      <c r="H11" s="72"/>
      <c r="I11" s="72"/>
      <c r="J11" s="72"/>
      <c r="K11" s="72">
        <v>1788.6</v>
      </c>
      <c r="L11" s="72">
        <v>354.1</v>
      </c>
      <c r="M11" s="72">
        <v>5063.8</v>
      </c>
      <c r="N11" s="72">
        <v>47.1</v>
      </c>
      <c r="O11" s="72"/>
      <c r="P11" s="72"/>
      <c r="Q11" s="72">
        <v>52.3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8400.4</v>
      </c>
      <c r="AH11" s="72">
        <f>B11+C11-AG11</f>
        <v>14827.700000000006</v>
      </c>
      <c r="AJ11" s="21"/>
    </row>
    <row r="12" spans="1:36" s="18" customFormat="1" ht="15.75">
      <c r="A12" s="98" t="s">
        <v>2</v>
      </c>
      <c r="B12" s="99">
        <v>109.7</v>
      </c>
      <c r="C12" s="97">
        <v>23.4</v>
      </c>
      <c r="D12" s="72"/>
      <c r="E12" s="72"/>
      <c r="F12" s="72">
        <v>71.3</v>
      </c>
      <c r="G12" s="72"/>
      <c r="H12" s="72">
        <v>23</v>
      </c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94.3</v>
      </c>
      <c r="AH12" s="72">
        <f>B12+C12-AG12</f>
        <v>38.8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968.8999999999985</v>
      </c>
      <c r="C14" s="97">
        <v>1314.2999999999934</v>
      </c>
      <c r="D14" s="72">
        <f t="shared" si="2"/>
        <v>0</v>
      </c>
      <c r="E14" s="72">
        <f t="shared" si="2"/>
        <v>431.7</v>
      </c>
      <c r="F14" s="72">
        <f t="shared" si="2"/>
        <v>23.300000000000026</v>
      </c>
      <c r="G14" s="72">
        <f t="shared" si="2"/>
        <v>5.5</v>
      </c>
      <c r="H14" s="72">
        <f>H10-H11-H12-H13</f>
        <v>24.1</v>
      </c>
      <c r="I14" s="72">
        <f t="shared" si="2"/>
        <v>26.1</v>
      </c>
      <c r="J14" s="72">
        <f t="shared" si="2"/>
        <v>10.5</v>
      </c>
      <c r="K14" s="72">
        <f t="shared" si="2"/>
        <v>43.200000000000045</v>
      </c>
      <c r="L14" s="72">
        <f t="shared" si="2"/>
        <v>8.5</v>
      </c>
      <c r="M14" s="72">
        <f t="shared" si="2"/>
        <v>48.5</v>
      </c>
      <c r="N14" s="72">
        <f t="shared" si="2"/>
        <v>2.1000000000000014</v>
      </c>
      <c r="O14" s="72">
        <f t="shared" si="2"/>
        <v>9.1</v>
      </c>
      <c r="P14" s="72">
        <f t="shared" si="2"/>
        <v>4.2</v>
      </c>
      <c r="Q14" s="72">
        <f t="shared" si="2"/>
        <v>14.700000000000003</v>
      </c>
      <c r="R14" s="72">
        <f t="shared" si="2"/>
        <v>56.3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707.8000000000002</v>
      </c>
      <c r="AH14" s="72">
        <f>AH10-AH11-AH12-AH13</f>
        <v>1575.399999999988</v>
      </c>
      <c r="AJ14" s="21"/>
    </row>
    <row r="15" spans="1:36" s="18" customFormat="1" ht="15" customHeight="1">
      <c r="A15" s="96" t="s">
        <v>6</v>
      </c>
      <c r="B15" s="97">
        <f>41794.5-150.8</f>
        <v>41643.7</v>
      </c>
      <c r="C15" s="97">
        <v>29268.100000000035</v>
      </c>
      <c r="D15" s="100"/>
      <c r="E15" s="100">
        <v>4031.4</v>
      </c>
      <c r="F15" s="72">
        <f>1283.3+847.7</f>
        <v>2131</v>
      </c>
      <c r="G15" s="72">
        <v>64.1</v>
      </c>
      <c r="H15" s="72">
        <f>956.3+88.2</f>
        <v>1044.5</v>
      </c>
      <c r="I15" s="72">
        <v>636.8</v>
      </c>
      <c r="J15" s="72">
        <f>447.5+19.9+0.1</f>
        <v>467.5</v>
      </c>
      <c r="K15" s="72">
        <f>5.4+1.9</f>
        <v>7.300000000000001</v>
      </c>
      <c r="L15" s="72">
        <f>5305.9+671.5</f>
        <v>5977.4</v>
      </c>
      <c r="M15" s="72">
        <f>4657.2</f>
        <v>4657.2</v>
      </c>
      <c r="N15" s="72">
        <v>609.8</v>
      </c>
      <c r="O15" s="72">
        <v>171.5</v>
      </c>
      <c r="P15" s="72"/>
      <c r="Q15" s="72">
        <v>5</v>
      </c>
      <c r="R15" s="72">
        <v>396</v>
      </c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20199.499999999996</v>
      </c>
      <c r="AH15" s="72">
        <f aca="true" t="shared" si="3" ref="AH15:AH31">B15+C15-AG15</f>
        <v>50712.30000000003</v>
      </c>
      <c r="AJ15" s="21"/>
    </row>
    <row r="16" spans="1:36" s="104" customFormat="1" ht="15" customHeight="1">
      <c r="A16" s="101" t="s">
        <v>38</v>
      </c>
      <c r="B16" s="102">
        <v>12081.9</v>
      </c>
      <c r="C16" s="102">
        <v>948.3000000000029</v>
      </c>
      <c r="D16" s="88"/>
      <c r="E16" s="88">
        <v>4031.4</v>
      </c>
      <c r="F16" s="76">
        <v>847.7</v>
      </c>
      <c r="G16" s="76"/>
      <c r="H16" s="76">
        <v>88.2</v>
      </c>
      <c r="I16" s="76"/>
      <c r="J16" s="76"/>
      <c r="K16" s="76"/>
      <c r="L16" s="76">
        <v>671.5</v>
      </c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5638.8</v>
      </c>
      <c r="AH16" s="88">
        <f t="shared" si="3"/>
        <v>7391.400000000002</v>
      </c>
      <c r="AI16" s="103"/>
      <c r="AJ16" s="21"/>
    </row>
    <row r="17" spans="1:36" s="18" customFormat="1" ht="15.75">
      <c r="A17" s="98" t="s">
        <v>5</v>
      </c>
      <c r="B17" s="97">
        <v>35888</v>
      </c>
      <c r="C17" s="97">
        <v>10533.559999999983</v>
      </c>
      <c r="D17" s="72"/>
      <c r="E17" s="72">
        <v>4031.4</v>
      </c>
      <c r="F17" s="72">
        <f>1107.9+847.7</f>
        <v>1955.6000000000001</v>
      </c>
      <c r="G17" s="72"/>
      <c r="H17" s="72">
        <f>42.4+88.2</f>
        <v>130.6</v>
      </c>
      <c r="I17" s="72"/>
      <c r="J17" s="72"/>
      <c r="K17" s="72"/>
      <c r="L17" s="72">
        <f>5282.4+671.5</f>
        <v>5953.9</v>
      </c>
      <c r="M17" s="72">
        <v>4513.4</v>
      </c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16584.9</v>
      </c>
      <c r="AH17" s="72">
        <f t="shared" si="3"/>
        <v>29836.65999999998</v>
      </c>
      <c r="AI17" s="21"/>
      <c r="AJ17" s="21"/>
    </row>
    <row r="18" spans="1:36" s="18" customFormat="1" ht="15.75">
      <c r="A18" s="98" t="s">
        <v>3</v>
      </c>
      <c r="B18" s="97"/>
      <c r="C18" s="97">
        <v>14.600000000000001</v>
      </c>
      <c r="D18" s="72"/>
      <c r="E18" s="72"/>
      <c r="F18" s="72"/>
      <c r="G18" s="72"/>
      <c r="H18" s="72"/>
      <c r="I18" s="72"/>
      <c r="J18" s="72">
        <v>0.5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0.5</v>
      </c>
      <c r="AH18" s="72">
        <f t="shared" si="3"/>
        <v>14.100000000000001</v>
      </c>
      <c r="AJ18" s="21"/>
    </row>
    <row r="19" spans="1:36" s="18" customFormat="1" ht="15.75">
      <c r="A19" s="98" t="s">
        <v>1</v>
      </c>
      <c r="B19" s="97">
        <v>693.5</v>
      </c>
      <c r="C19" s="97">
        <v>1786.9999999999982</v>
      </c>
      <c r="D19" s="72"/>
      <c r="E19" s="72"/>
      <c r="F19" s="72">
        <v>0.2</v>
      </c>
      <c r="G19" s="72"/>
      <c r="H19" s="72">
        <v>23.1</v>
      </c>
      <c r="I19" s="72"/>
      <c r="J19" s="72"/>
      <c r="K19" s="72"/>
      <c r="L19" s="72"/>
      <c r="M19" s="72">
        <v>10</v>
      </c>
      <c r="N19" s="72">
        <v>147.3</v>
      </c>
      <c r="O19" s="72">
        <v>70.5</v>
      </c>
      <c r="P19" s="72"/>
      <c r="Q19" s="72"/>
      <c r="R19" s="72">
        <v>98.6</v>
      </c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349.70000000000005</v>
      </c>
      <c r="AH19" s="72">
        <f t="shared" si="3"/>
        <v>2130.7999999999984</v>
      </c>
      <c r="AJ19" s="21"/>
    </row>
    <row r="20" spans="1:36" s="18" customFormat="1" ht="15.75">
      <c r="A20" s="98" t="s">
        <v>2</v>
      </c>
      <c r="B20" s="97">
        <f>1345.8-150.8</f>
        <v>1195</v>
      </c>
      <c r="C20" s="97">
        <v>7699.5</v>
      </c>
      <c r="D20" s="72"/>
      <c r="E20" s="72"/>
      <c r="F20" s="72">
        <v>114.6</v>
      </c>
      <c r="G20" s="72">
        <v>64.1</v>
      </c>
      <c r="H20" s="72">
        <v>132.3</v>
      </c>
      <c r="I20" s="72">
        <v>525.1</v>
      </c>
      <c r="J20" s="72">
        <f>375.5+19.9+0.1</f>
        <v>395.5</v>
      </c>
      <c r="K20" s="72">
        <v>1.9</v>
      </c>
      <c r="L20" s="72">
        <v>9</v>
      </c>
      <c r="M20" s="72">
        <v>29.3</v>
      </c>
      <c r="N20" s="72">
        <v>19.6</v>
      </c>
      <c r="O20" s="72"/>
      <c r="P20" s="72"/>
      <c r="Q20" s="72">
        <v>2.4</v>
      </c>
      <c r="R20" s="72">
        <v>18.2</v>
      </c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1312</v>
      </c>
      <c r="AH20" s="72">
        <f t="shared" si="3"/>
        <v>7582.5</v>
      </c>
      <c r="AJ20" s="21"/>
    </row>
    <row r="21" spans="1:36" s="18" customFormat="1" ht="15.75">
      <c r="A21" s="98" t="s">
        <v>16</v>
      </c>
      <c r="B21" s="97">
        <v>961.4</v>
      </c>
      <c r="C21" s="97">
        <v>614.2999999999997</v>
      </c>
      <c r="D21" s="72"/>
      <c r="E21" s="72"/>
      <c r="F21" s="72"/>
      <c r="G21" s="72"/>
      <c r="H21" s="72">
        <f>114.8+47.7</f>
        <v>162.5</v>
      </c>
      <c r="I21" s="72"/>
      <c r="J21" s="72"/>
      <c r="K21" s="72"/>
      <c r="L21" s="72"/>
      <c r="M21" s="72">
        <f>65.2+24.1</f>
        <v>89.30000000000001</v>
      </c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251.8</v>
      </c>
      <c r="AH21" s="72">
        <f t="shared" si="3"/>
        <v>1323.8999999999999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2905.799999999997</v>
      </c>
      <c r="C23" s="97">
        <v>8619.1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60.59999999999988</v>
      </c>
      <c r="G23" s="72">
        <f t="shared" si="4"/>
        <v>0</v>
      </c>
      <c r="H23" s="72">
        <f>H15-H17-H18-H19-H20-H21-H22</f>
        <v>596</v>
      </c>
      <c r="I23" s="72">
        <f t="shared" si="4"/>
        <v>111.69999999999993</v>
      </c>
      <c r="J23" s="72">
        <f t="shared" si="4"/>
        <v>71.5</v>
      </c>
      <c r="K23" s="72">
        <f t="shared" si="4"/>
        <v>5.4</v>
      </c>
      <c r="L23" s="72">
        <f t="shared" si="4"/>
        <v>14.5</v>
      </c>
      <c r="M23" s="72">
        <f t="shared" si="4"/>
        <v>15.200000000000173</v>
      </c>
      <c r="N23" s="72">
        <f t="shared" si="4"/>
        <v>442.8999999999999</v>
      </c>
      <c r="O23" s="72">
        <f t="shared" si="4"/>
        <v>101</v>
      </c>
      <c r="P23" s="72">
        <f t="shared" si="4"/>
        <v>0</v>
      </c>
      <c r="Q23" s="72">
        <f t="shared" si="4"/>
        <v>2.6</v>
      </c>
      <c r="R23" s="72">
        <f t="shared" si="4"/>
        <v>279.2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1700.6</v>
      </c>
      <c r="AH23" s="72">
        <f>B23+C23-AG23</f>
        <v>9824.299999999997</v>
      </c>
      <c r="AJ23" s="21"/>
    </row>
    <row r="24" spans="1:36" s="18" customFormat="1" ht="15" customHeight="1">
      <c r="A24" s="96" t="s">
        <v>7</v>
      </c>
      <c r="B24" s="97">
        <f>40230.8-580</f>
        <v>39650.8</v>
      </c>
      <c r="C24" s="97">
        <v>12878.563000000016</v>
      </c>
      <c r="D24" s="72"/>
      <c r="E24" s="72"/>
      <c r="F24" s="72">
        <f>1150</f>
        <v>1150</v>
      </c>
      <c r="G24" s="72"/>
      <c r="H24" s="72">
        <f>954.5+699.4</f>
        <v>1653.9</v>
      </c>
      <c r="I24" s="72"/>
      <c r="J24" s="72">
        <v>0.9</v>
      </c>
      <c r="K24" s="72">
        <v>64.6</v>
      </c>
      <c r="L24" s="72">
        <f>1017.2+6668.8</f>
        <v>7686</v>
      </c>
      <c r="M24" s="72">
        <f>996.5+3982.6</f>
        <v>4979.1</v>
      </c>
      <c r="N24" s="72">
        <v>65.4</v>
      </c>
      <c r="O24" s="72"/>
      <c r="P24" s="72"/>
      <c r="Q24" s="72"/>
      <c r="R24" s="72">
        <f>153.4+595.6</f>
        <v>749</v>
      </c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16348.9</v>
      </c>
      <c r="AH24" s="72">
        <f t="shared" si="3"/>
        <v>36180.46300000002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56.8</v>
      </c>
      <c r="D25" s="76"/>
      <c r="E25" s="76"/>
      <c r="F25" s="76">
        <v>1150</v>
      </c>
      <c r="G25" s="76"/>
      <c r="H25" s="76">
        <v>699.4</v>
      </c>
      <c r="I25" s="76"/>
      <c r="J25" s="76">
        <v>0.9</v>
      </c>
      <c r="K25" s="76"/>
      <c r="L25" s="76">
        <v>6668.8</v>
      </c>
      <c r="M25" s="76">
        <v>3982.6</v>
      </c>
      <c r="N25" s="76"/>
      <c r="O25" s="76"/>
      <c r="P25" s="76"/>
      <c r="Q25" s="76"/>
      <c r="R25" s="76">
        <v>595.6</v>
      </c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13097.300000000001</v>
      </c>
      <c r="AH25" s="88">
        <f t="shared" si="3"/>
        <v>4097.4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90.8</v>
      </c>
      <c r="C30" s="97">
        <v>0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0</v>
      </c>
      <c r="AH30" s="72">
        <f t="shared" si="3"/>
        <v>90.8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39560</v>
      </c>
      <c r="C32" s="97">
        <v>12878.563000000016</v>
      </c>
      <c r="D32" s="72">
        <f aca="true" t="shared" si="5" ref="D32:AE32">D24-D26-D27-D28-D29-D30-D31</f>
        <v>0</v>
      </c>
      <c r="E32" s="72">
        <f t="shared" si="5"/>
        <v>0</v>
      </c>
      <c r="F32" s="72">
        <f t="shared" si="5"/>
        <v>1150</v>
      </c>
      <c r="G32" s="72">
        <f t="shared" si="5"/>
        <v>0</v>
      </c>
      <c r="H32" s="72">
        <f>H24-H26-H27-H28-H29-H30-H31</f>
        <v>1653.9</v>
      </c>
      <c r="I32" s="72">
        <f t="shared" si="5"/>
        <v>0</v>
      </c>
      <c r="J32" s="72">
        <f t="shared" si="5"/>
        <v>0.9</v>
      </c>
      <c r="K32" s="72">
        <f t="shared" si="5"/>
        <v>64.6</v>
      </c>
      <c r="L32" s="72">
        <f t="shared" si="5"/>
        <v>7686</v>
      </c>
      <c r="M32" s="72">
        <f t="shared" si="5"/>
        <v>4979.1</v>
      </c>
      <c r="N32" s="72">
        <f t="shared" si="5"/>
        <v>65.4</v>
      </c>
      <c r="O32" s="72">
        <f t="shared" si="5"/>
        <v>0</v>
      </c>
      <c r="P32" s="72">
        <f t="shared" si="5"/>
        <v>0</v>
      </c>
      <c r="Q32" s="72">
        <f t="shared" si="5"/>
        <v>0</v>
      </c>
      <c r="R32" s="72">
        <f t="shared" si="5"/>
        <v>749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16348.9</v>
      </c>
      <c r="AH32" s="72">
        <f>AH24-AH30</f>
        <v>36089.663000000015</v>
      </c>
      <c r="AJ32" s="21"/>
    </row>
    <row r="33" spans="1:36" s="18" customFormat="1" ht="15" customHeight="1">
      <c r="A33" s="96" t="s">
        <v>8</v>
      </c>
      <c r="B33" s="97">
        <v>2001.1</v>
      </c>
      <c r="C33" s="97">
        <v>1169.0000000000002</v>
      </c>
      <c r="D33" s="72"/>
      <c r="E33" s="72"/>
      <c r="F33" s="72"/>
      <c r="G33" s="72"/>
      <c r="H33" s="72">
        <v>647.3</v>
      </c>
      <c r="I33" s="72"/>
      <c r="J33" s="72">
        <v>146.2</v>
      </c>
      <c r="K33" s="72"/>
      <c r="L33" s="72">
        <v>976.5</v>
      </c>
      <c r="M33" s="72"/>
      <c r="N33" s="72"/>
      <c r="O33" s="72"/>
      <c r="P33" s="72"/>
      <c r="Q33" s="72">
        <v>7.7</v>
      </c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1777.7</v>
      </c>
      <c r="AH33" s="72">
        <f aca="true" t="shared" si="6" ref="AH33:AH38">B33+C33-AG33</f>
        <v>1392.4000000000003</v>
      </c>
      <c r="AJ33" s="21"/>
    </row>
    <row r="34" spans="1:36" s="18" customFormat="1" ht="15.75">
      <c r="A34" s="98" t="s">
        <v>5</v>
      </c>
      <c r="B34" s="97">
        <v>344.2</v>
      </c>
      <c r="C34" s="97">
        <v>48.5</v>
      </c>
      <c r="D34" s="72"/>
      <c r="E34" s="72"/>
      <c r="F34" s="72"/>
      <c r="G34" s="72"/>
      <c r="H34" s="72"/>
      <c r="I34" s="72"/>
      <c r="J34" s="72"/>
      <c r="K34" s="72"/>
      <c r="L34" s="72">
        <v>121.3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121.3</v>
      </c>
      <c r="AH34" s="72">
        <f t="shared" si="6"/>
        <v>271.4</v>
      </c>
      <c r="AJ34" s="21"/>
    </row>
    <row r="35" spans="1:36" s="18" customFormat="1" ht="15.75">
      <c r="A35" s="98" t="s">
        <v>1</v>
      </c>
      <c r="B35" s="97"/>
      <c r="C35" s="97">
        <v>68.5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68.5</v>
      </c>
      <c r="AJ35" s="21"/>
    </row>
    <row r="36" spans="1:36" s="18" customFormat="1" ht="15.75">
      <c r="A36" s="98" t="s">
        <v>2</v>
      </c>
      <c r="B36" s="105">
        <v>4.3</v>
      </c>
      <c r="C36" s="97">
        <v>70.4</v>
      </c>
      <c r="D36" s="72"/>
      <c r="E36" s="72"/>
      <c r="F36" s="72"/>
      <c r="G36" s="72"/>
      <c r="H36" s="72"/>
      <c r="I36" s="72"/>
      <c r="J36" s="72"/>
      <c r="K36" s="72"/>
      <c r="L36" s="72">
        <v>0.9</v>
      </c>
      <c r="M36" s="72"/>
      <c r="N36" s="72"/>
      <c r="O36" s="72"/>
      <c r="P36" s="72"/>
      <c r="Q36" s="72">
        <v>4.6</v>
      </c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5.5</v>
      </c>
      <c r="AH36" s="72">
        <f t="shared" si="6"/>
        <v>69.2</v>
      </c>
      <c r="AJ36" s="21"/>
    </row>
    <row r="37" spans="1:36" s="18" customFormat="1" ht="15.75">
      <c r="A37" s="98" t="s">
        <v>16</v>
      </c>
      <c r="B37" s="97">
        <v>1567.5</v>
      </c>
      <c r="C37" s="97">
        <v>768</v>
      </c>
      <c r="D37" s="72"/>
      <c r="E37" s="72"/>
      <c r="F37" s="72"/>
      <c r="G37" s="72"/>
      <c r="H37" s="72">
        <v>494.9</v>
      </c>
      <c r="I37" s="72"/>
      <c r="J37" s="72">
        <v>146.2</v>
      </c>
      <c r="K37" s="72"/>
      <c r="L37" s="72">
        <v>852.6</v>
      </c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1493.6999999999998</v>
      </c>
      <c r="AH37" s="72">
        <f t="shared" si="6"/>
        <v>841.8000000000002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85.09999999999991</v>
      </c>
      <c r="C39" s="97">
        <v>213.60000000000014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152.39999999999998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1.7000000000000455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3.1000000000000005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157.20000000000002</v>
      </c>
      <c r="AH39" s="72">
        <f>AH33-AH34-AH36-AH38-AH35-AH37</f>
        <v>141.50000000000023</v>
      </c>
      <c r="AJ39" s="21"/>
    </row>
    <row r="40" spans="1:36" s="18" customFormat="1" ht="15" customHeight="1">
      <c r="A40" s="96" t="s">
        <v>29</v>
      </c>
      <c r="B40" s="97">
        <f>1347.9+32.7</f>
        <v>1380.6000000000001</v>
      </c>
      <c r="C40" s="97">
        <v>323.5</v>
      </c>
      <c r="D40" s="72"/>
      <c r="E40" s="72"/>
      <c r="F40" s="72">
        <v>39.3</v>
      </c>
      <c r="G40" s="72"/>
      <c r="H40" s="72"/>
      <c r="I40" s="72"/>
      <c r="J40" s="72"/>
      <c r="K40" s="72"/>
      <c r="L40" s="72">
        <v>521.9</v>
      </c>
      <c r="M40" s="72"/>
      <c r="N40" s="72">
        <v>15.3</v>
      </c>
      <c r="O40" s="72">
        <v>8.4</v>
      </c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584.8999999999999</v>
      </c>
      <c r="AH40" s="72">
        <f aca="true" t="shared" si="8" ref="AH40:AH45">B40+C40-AG40</f>
        <v>1119.2000000000003</v>
      </c>
      <c r="AJ40" s="21"/>
    </row>
    <row r="41" spans="1:36" s="18" customFormat="1" ht="15.75">
      <c r="A41" s="98" t="s">
        <v>5</v>
      </c>
      <c r="B41" s="97">
        <v>1299.1</v>
      </c>
      <c r="C41" s="97">
        <v>102.89999999999941</v>
      </c>
      <c r="D41" s="72"/>
      <c r="E41" s="72"/>
      <c r="F41" s="72"/>
      <c r="G41" s="72"/>
      <c r="H41" s="72"/>
      <c r="I41" s="72"/>
      <c r="J41" s="72"/>
      <c r="K41" s="72"/>
      <c r="L41" s="72">
        <v>495.5</v>
      </c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495.5</v>
      </c>
      <c r="AH41" s="72">
        <f t="shared" si="8"/>
        <v>906.4999999999993</v>
      </c>
      <c r="AI41" s="21"/>
      <c r="AJ41" s="21"/>
    </row>
    <row r="42" spans="1:36" s="18" customFormat="1" ht="15.75">
      <c r="A42" s="98" t="s">
        <v>3</v>
      </c>
      <c r="B42" s="97"/>
      <c r="C42" s="97">
        <v>0.9</v>
      </c>
      <c r="D42" s="72"/>
      <c r="E42" s="72"/>
      <c r="F42" s="72">
        <v>0.9</v>
      </c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0.9</v>
      </c>
      <c r="AH42" s="72">
        <f t="shared" si="8"/>
        <v>0</v>
      </c>
      <c r="AJ42" s="21"/>
    </row>
    <row r="43" spans="1:36" s="18" customFormat="1" ht="15.75">
      <c r="A43" s="98" t="s">
        <v>1</v>
      </c>
      <c r="B43" s="97">
        <v>9.3</v>
      </c>
      <c r="C43" s="97">
        <v>4.0000000000000036</v>
      </c>
      <c r="D43" s="72"/>
      <c r="E43" s="72"/>
      <c r="F43" s="72"/>
      <c r="G43" s="72"/>
      <c r="H43" s="72"/>
      <c r="I43" s="72"/>
      <c r="J43" s="72"/>
      <c r="K43" s="72"/>
      <c r="L43" s="72">
        <v>8.1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8.1</v>
      </c>
      <c r="AH43" s="72">
        <f t="shared" si="8"/>
        <v>5.200000000000005</v>
      </c>
      <c r="AJ43" s="21"/>
    </row>
    <row r="44" spans="1:36" s="18" customFormat="1" ht="15.75">
      <c r="A44" s="98" t="s">
        <v>2</v>
      </c>
      <c r="B44" s="97">
        <v>8.2</v>
      </c>
      <c r="C44" s="97">
        <v>164.90000000000006</v>
      </c>
      <c r="D44" s="72"/>
      <c r="E44" s="72"/>
      <c r="F44" s="72">
        <v>4</v>
      </c>
      <c r="G44" s="72"/>
      <c r="H44" s="72"/>
      <c r="I44" s="72"/>
      <c r="J44" s="72"/>
      <c r="K44" s="72"/>
      <c r="L44" s="72"/>
      <c r="M44" s="72"/>
      <c r="N44" s="72"/>
      <c r="O44" s="72">
        <v>8.4</v>
      </c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12.4</v>
      </c>
      <c r="AH44" s="72">
        <f t="shared" si="8"/>
        <v>160.70000000000005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64.00000000000023</v>
      </c>
      <c r="C46" s="97">
        <v>50.80000000000052</v>
      </c>
      <c r="D46" s="72">
        <f t="shared" si="9"/>
        <v>0</v>
      </c>
      <c r="E46" s="72">
        <f t="shared" si="9"/>
        <v>0</v>
      </c>
      <c r="F46" s="72">
        <f t="shared" si="9"/>
        <v>34.4</v>
      </c>
      <c r="G46" s="72">
        <f t="shared" si="9"/>
        <v>0</v>
      </c>
      <c r="H46" s="72">
        <f>H40-H41-H42-H43-H44-H45</f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18.299999999999976</v>
      </c>
      <c r="M46" s="72">
        <f t="shared" si="9"/>
        <v>0</v>
      </c>
      <c r="N46" s="72">
        <f t="shared" si="9"/>
        <v>15.3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67.99999999999997</v>
      </c>
      <c r="AH46" s="72">
        <f>AH40-AH41-AH42-AH43-AH44-AH45</f>
        <v>46.80000000000089</v>
      </c>
      <c r="AJ46" s="21"/>
    </row>
    <row r="47" spans="1:36" s="18" customFormat="1" ht="17.25" customHeight="1">
      <c r="A47" s="96" t="s">
        <v>43</v>
      </c>
      <c r="B47" s="99">
        <f>8106.7-26.4-2000</f>
        <v>6080.3</v>
      </c>
      <c r="C47" s="97">
        <v>2988.9000000000015</v>
      </c>
      <c r="D47" s="72"/>
      <c r="E47" s="80">
        <v>53.2</v>
      </c>
      <c r="F47" s="80">
        <v>1580.1</v>
      </c>
      <c r="G47" s="80"/>
      <c r="H47" s="80">
        <v>1.8</v>
      </c>
      <c r="I47" s="80">
        <v>275.5</v>
      </c>
      <c r="J47" s="80">
        <v>317</v>
      </c>
      <c r="K47" s="80">
        <v>1.4</v>
      </c>
      <c r="L47" s="80">
        <v>24.8</v>
      </c>
      <c r="M47" s="80">
        <v>61.7</v>
      </c>
      <c r="N47" s="80">
        <v>64.6</v>
      </c>
      <c r="O47" s="80">
        <v>204.3</v>
      </c>
      <c r="P47" s="80">
        <v>1642.8</v>
      </c>
      <c r="Q47" s="80">
        <v>28.7</v>
      </c>
      <c r="R47" s="80">
        <v>69.7</v>
      </c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72">
        <f t="shared" si="1"/>
        <v>4325.599999999999</v>
      </c>
      <c r="AH47" s="72">
        <f>B47+C47-AG47</f>
        <v>4743.600000000001</v>
      </c>
      <c r="AJ47" s="21"/>
    </row>
    <row r="48" spans="1:36" s="18" customFormat="1" ht="15.75">
      <c r="A48" s="98" t="s">
        <v>5</v>
      </c>
      <c r="B48" s="97">
        <v>54.3</v>
      </c>
      <c r="C48" s="97">
        <v>104.30000000000004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>
        <v>24.8</v>
      </c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24.8</v>
      </c>
      <c r="AH48" s="72">
        <f>B48+C48-AG48</f>
        <v>133.8</v>
      </c>
      <c r="AJ48" s="21"/>
    </row>
    <row r="49" spans="1:36" s="18" customFormat="1" ht="15.75">
      <c r="A49" s="98" t="s">
        <v>16</v>
      </c>
      <c r="B49" s="97">
        <f>7410.5-112-2000</f>
        <v>5298.5</v>
      </c>
      <c r="C49" s="97">
        <v>2121.5000000000036</v>
      </c>
      <c r="D49" s="72"/>
      <c r="E49" s="72"/>
      <c r="F49" s="72">
        <v>1559.4</v>
      </c>
      <c r="G49" s="72"/>
      <c r="H49" s="72">
        <v>1.8</v>
      </c>
      <c r="I49" s="72">
        <f>223.8+10+38.2</f>
        <v>272</v>
      </c>
      <c r="J49" s="72">
        <v>307.2</v>
      </c>
      <c r="K49" s="72">
        <v>1.4</v>
      </c>
      <c r="L49" s="72">
        <v>24.8</v>
      </c>
      <c r="M49" s="72">
        <v>61.7</v>
      </c>
      <c r="N49" s="72">
        <v>20.4</v>
      </c>
      <c r="O49" s="72">
        <v>193</v>
      </c>
      <c r="P49" s="72">
        <v>1642.8</v>
      </c>
      <c r="Q49" s="72">
        <v>28.7</v>
      </c>
      <c r="R49" s="72">
        <v>69.7</v>
      </c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>
        <f t="shared" si="1"/>
        <v>4182.9</v>
      </c>
      <c r="AH49" s="72">
        <f>B49+C49-AG49</f>
        <v>3237.100000000004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727.5</v>
      </c>
      <c r="C51" s="97">
        <v>763.0999999999977</v>
      </c>
      <c r="D51" s="72">
        <f t="shared" si="10"/>
        <v>0</v>
      </c>
      <c r="E51" s="72">
        <f t="shared" si="10"/>
        <v>53.2</v>
      </c>
      <c r="F51" s="72">
        <f t="shared" si="10"/>
        <v>20.699999999999818</v>
      </c>
      <c r="G51" s="72">
        <f t="shared" si="10"/>
        <v>0</v>
      </c>
      <c r="H51" s="72">
        <f>H47-H48-H49</f>
        <v>0</v>
      </c>
      <c r="I51" s="72">
        <f t="shared" si="10"/>
        <v>3.5</v>
      </c>
      <c r="J51" s="72">
        <f t="shared" si="10"/>
        <v>9.800000000000011</v>
      </c>
      <c r="K51" s="72">
        <f t="shared" si="10"/>
        <v>0</v>
      </c>
      <c r="L51" s="72">
        <f t="shared" si="10"/>
        <v>0</v>
      </c>
      <c r="M51" s="72">
        <f t="shared" si="10"/>
        <v>0</v>
      </c>
      <c r="N51" s="72">
        <f t="shared" si="10"/>
        <v>19.4</v>
      </c>
      <c r="O51" s="72">
        <f t="shared" si="10"/>
        <v>11.300000000000011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117.89999999999984</v>
      </c>
      <c r="AH51" s="72">
        <f>AH47-AH49-AH48</f>
        <v>1372.6999999999973</v>
      </c>
      <c r="AJ51" s="21"/>
    </row>
    <row r="52" spans="1:36" s="18" customFormat="1" ht="15" customHeight="1">
      <c r="A52" s="96" t="s">
        <v>0</v>
      </c>
      <c r="B52" s="97">
        <f>12178.3-243-100+2000</f>
        <v>13835.3</v>
      </c>
      <c r="C52" s="97">
        <v>2986.9999999999973</v>
      </c>
      <c r="D52" s="72"/>
      <c r="E52" s="72">
        <v>83.7</v>
      </c>
      <c r="F52" s="72">
        <v>1947.1</v>
      </c>
      <c r="G52" s="72">
        <v>120.8</v>
      </c>
      <c r="H52" s="72">
        <v>2138.3</v>
      </c>
      <c r="I52" s="72">
        <v>316.7</v>
      </c>
      <c r="J52" s="72">
        <v>8.7</v>
      </c>
      <c r="K52" s="72">
        <v>5.2</v>
      </c>
      <c r="L52" s="72">
        <v>1499.8</v>
      </c>
      <c r="M52" s="72">
        <v>122.3</v>
      </c>
      <c r="N52" s="72">
        <v>322.5</v>
      </c>
      <c r="O52" s="72"/>
      <c r="P52" s="72"/>
      <c r="Q52" s="72">
        <v>1155.2</v>
      </c>
      <c r="R52" s="72">
        <v>3979.5</v>
      </c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11699.8</v>
      </c>
      <c r="AH52" s="72">
        <f aca="true" t="shared" si="11" ref="AH52:AH59">B52+C52-AG52</f>
        <v>5122.499999999996</v>
      </c>
      <c r="AJ52" s="21"/>
    </row>
    <row r="53" spans="1:36" s="18" customFormat="1" ht="15" customHeight="1">
      <c r="A53" s="98" t="s">
        <v>2</v>
      </c>
      <c r="B53" s="97">
        <v>1788.4</v>
      </c>
      <c r="C53" s="97">
        <v>74.59999999999945</v>
      </c>
      <c r="D53" s="72"/>
      <c r="E53" s="72">
        <v>83.7</v>
      </c>
      <c r="F53" s="72">
        <v>677.1</v>
      </c>
      <c r="G53" s="72">
        <v>35.3</v>
      </c>
      <c r="H53" s="72"/>
      <c r="I53" s="72">
        <v>47.9</v>
      </c>
      <c r="J53" s="72">
        <v>8.7</v>
      </c>
      <c r="K53" s="72"/>
      <c r="L53" s="72"/>
      <c r="M53" s="72">
        <v>62.1</v>
      </c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914.8000000000001</v>
      </c>
      <c r="AH53" s="72">
        <f t="shared" si="11"/>
        <v>948.1999999999995</v>
      </c>
      <c r="AJ53" s="21"/>
    </row>
    <row r="54" spans="1:36" s="18" customFormat="1" ht="15" customHeight="1">
      <c r="A54" s="96" t="s">
        <v>9</v>
      </c>
      <c r="B54" s="105">
        <f>1909.6+16.9+150.8</f>
        <v>2077.3</v>
      </c>
      <c r="C54" s="97">
        <v>1168.1999999999998</v>
      </c>
      <c r="D54" s="72"/>
      <c r="E54" s="72">
        <v>185.8</v>
      </c>
      <c r="F54" s="72">
        <v>4.3</v>
      </c>
      <c r="G54" s="72">
        <v>148.9</v>
      </c>
      <c r="H54" s="72"/>
      <c r="I54" s="72">
        <v>148.4</v>
      </c>
      <c r="J54" s="72"/>
      <c r="K54" s="72"/>
      <c r="L54" s="72">
        <v>519.2</v>
      </c>
      <c r="M54" s="72">
        <v>43</v>
      </c>
      <c r="N54" s="72"/>
      <c r="O54" s="72"/>
      <c r="P54" s="72">
        <v>137</v>
      </c>
      <c r="Q54" s="72">
        <v>77.9</v>
      </c>
      <c r="R54" s="72">
        <v>36.8</v>
      </c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>
        <f t="shared" si="1"/>
        <v>1301.3</v>
      </c>
      <c r="AH54" s="72">
        <f t="shared" si="11"/>
        <v>1944.2</v>
      </c>
      <c r="AI54" s="21"/>
      <c r="AJ54" s="21"/>
    </row>
    <row r="55" spans="1:36" s="18" customFormat="1" ht="15.75">
      <c r="A55" s="98" t="s">
        <v>5</v>
      </c>
      <c r="B55" s="97">
        <v>1306.2</v>
      </c>
      <c r="C55" s="97">
        <v>236.39999999999986</v>
      </c>
      <c r="D55" s="72"/>
      <c r="E55" s="72"/>
      <c r="F55" s="72">
        <v>4.3</v>
      </c>
      <c r="G55" s="72"/>
      <c r="H55" s="72"/>
      <c r="I55" s="72">
        <v>120.7</v>
      </c>
      <c r="J55" s="72"/>
      <c r="K55" s="72"/>
      <c r="L55" s="72">
        <v>413.3</v>
      </c>
      <c r="M55" s="72">
        <v>43</v>
      </c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581.3</v>
      </c>
      <c r="AH55" s="72">
        <f t="shared" si="11"/>
        <v>961.3</v>
      </c>
      <c r="AI55" s="21"/>
      <c r="AJ55" s="21"/>
    </row>
    <row r="56" spans="1:36" s="18" customFormat="1" ht="15" customHeight="1">
      <c r="A56" s="98" t="s">
        <v>1</v>
      </c>
      <c r="B56" s="97"/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0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18.3</v>
      </c>
      <c r="C57" s="97">
        <v>186.89999999999992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15.3</v>
      </c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15.3</v>
      </c>
      <c r="AH57" s="72">
        <f t="shared" si="11"/>
        <v>189.89999999999992</v>
      </c>
      <c r="AJ57" s="21"/>
    </row>
    <row r="58" spans="1:36" s="18" customFormat="1" ht="15.75">
      <c r="A58" s="98" t="s">
        <v>16</v>
      </c>
      <c r="B58" s="99"/>
      <c r="C58" s="97">
        <v>53.8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53.8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752.8000000000002</v>
      </c>
      <c r="C60" s="97">
        <v>691.1000000000001</v>
      </c>
      <c r="D60" s="72">
        <f t="shared" si="12"/>
        <v>0</v>
      </c>
      <c r="E60" s="72">
        <f t="shared" si="12"/>
        <v>185.8</v>
      </c>
      <c r="F60" s="72">
        <f t="shared" si="12"/>
        <v>0</v>
      </c>
      <c r="G60" s="72">
        <f t="shared" si="12"/>
        <v>148.9</v>
      </c>
      <c r="H60" s="72">
        <f>H54-H55-H57-H59-H56-H58</f>
        <v>0</v>
      </c>
      <c r="I60" s="72">
        <f t="shared" si="12"/>
        <v>27.700000000000003</v>
      </c>
      <c r="J60" s="72">
        <f t="shared" si="12"/>
        <v>0</v>
      </c>
      <c r="K60" s="72">
        <f t="shared" si="12"/>
        <v>0</v>
      </c>
      <c r="L60" s="72">
        <f t="shared" si="12"/>
        <v>105.90000000000003</v>
      </c>
      <c r="M60" s="72">
        <f t="shared" si="12"/>
        <v>0</v>
      </c>
      <c r="N60" s="72">
        <f t="shared" si="12"/>
        <v>0</v>
      </c>
      <c r="O60" s="72">
        <f t="shared" si="12"/>
        <v>0</v>
      </c>
      <c r="P60" s="72">
        <f t="shared" si="12"/>
        <v>137</v>
      </c>
      <c r="Q60" s="72">
        <f t="shared" si="12"/>
        <v>77.9</v>
      </c>
      <c r="R60" s="72">
        <f t="shared" si="12"/>
        <v>21.499999999999996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704.7</v>
      </c>
      <c r="AH60" s="72">
        <f>AH54-AH55-AH57-AH59-AH56-AH58</f>
        <v>739.2000000000003</v>
      </c>
      <c r="AJ60" s="21"/>
    </row>
    <row r="61" spans="1:36" s="18" customFormat="1" ht="15" customHeight="1">
      <c r="A61" s="96" t="s">
        <v>10</v>
      </c>
      <c r="B61" s="97">
        <v>84</v>
      </c>
      <c r="C61" s="97">
        <v>63.29999999999999</v>
      </c>
      <c r="D61" s="72"/>
      <c r="E61" s="72"/>
      <c r="F61" s="72"/>
      <c r="G61" s="72"/>
      <c r="H61" s="72"/>
      <c r="I61" s="72"/>
      <c r="J61" s="72">
        <v>20.4</v>
      </c>
      <c r="K61" s="72"/>
      <c r="L61" s="72"/>
      <c r="M61" s="72"/>
      <c r="N61" s="72"/>
      <c r="O61" s="72"/>
      <c r="P61" s="72">
        <v>5</v>
      </c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25.4</v>
      </c>
      <c r="AH61" s="72">
        <f aca="true" t="shared" si="14" ref="AH61:AH67">B61+C61-AG61</f>
        <v>121.89999999999998</v>
      </c>
      <c r="AJ61" s="21"/>
    </row>
    <row r="62" spans="1:36" s="18" customFormat="1" ht="15" customHeight="1">
      <c r="A62" s="96" t="s">
        <v>11</v>
      </c>
      <c r="B62" s="97">
        <f>4441.9-400</f>
        <v>4041.8999999999996</v>
      </c>
      <c r="C62" s="97">
        <v>5154.400000000001</v>
      </c>
      <c r="D62" s="72"/>
      <c r="E62" s="72">
        <v>193</v>
      </c>
      <c r="F62" s="72"/>
      <c r="G62" s="72">
        <v>4</v>
      </c>
      <c r="H62" s="72">
        <v>175.2</v>
      </c>
      <c r="I62" s="72"/>
      <c r="J62" s="72">
        <v>42.8</v>
      </c>
      <c r="K62" s="72"/>
      <c r="L62" s="72">
        <v>902.9</v>
      </c>
      <c r="M62" s="72"/>
      <c r="N62" s="72"/>
      <c r="O62" s="72"/>
      <c r="P62" s="72">
        <v>9.1</v>
      </c>
      <c r="Q62" s="72"/>
      <c r="R62" s="72">
        <v>300.8</v>
      </c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>
        <f t="shared" si="13"/>
        <v>1627.8</v>
      </c>
      <c r="AH62" s="72">
        <f t="shared" si="14"/>
        <v>7568.499999999999</v>
      </c>
      <c r="AJ62" s="21"/>
    </row>
    <row r="63" spans="1:36" s="18" customFormat="1" ht="15.75">
      <c r="A63" s="98" t="s">
        <v>5</v>
      </c>
      <c r="B63" s="97">
        <v>2680.6</v>
      </c>
      <c r="C63" s="97">
        <v>755.3999999999996</v>
      </c>
      <c r="D63" s="72"/>
      <c r="E63" s="72">
        <v>193</v>
      </c>
      <c r="F63" s="72"/>
      <c r="G63" s="72"/>
      <c r="H63" s="72"/>
      <c r="I63" s="72"/>
      <c r="J63" s="72"/>
      <c r="K63" s="72"/>
      <c r="L63" s="72">
        <v>703.6</v>
      </c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896.6</v>
      </c>
      <c r="AH63" s="72">
        <f t="shared" si="14"/>
        <v>2539.3999999999996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v>284.4</v>
      </c>
      <c r="C65" s="97">
        <v>745.5</v>
      </c>
      <c r="D65" s="72"/>
      <c r="E65" s="72"/>
      <c r="F65" s="72"/>
      <c r="G65" s="72"/>
      <c r="H65" s="72">
        <v>84.1</v>
      </c>
      <c r="I65" s="72"/>
      <c r="J65" s="72"/>
      <c r="K65" s="72"/>
      <c r="L65" s="72"/>
      <c r="M65" s="72"/>
      <c r="N65" s="72"/>
      <c r="O65" s="72"/>
      <c r="P65" s="72"/>
      <c r="Q65" s="72"/>
      <c r="R65" s="72">
        <v>17.2</v>
      </c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>
        <f t="shared" si="13"/>
        <v>101.3</v>
      </c>
      <c r="AH65" s="72">
        <f t="shared" si="14"/>
        <v>928.6000000000001</v>
      </c>
      <c r="AI65" s="21"/>
      <c r="AJ65" s="21"/>
    </row>
    <row r="66" spans="1:36" s="18" customFormat="1" ht="15.75">
      <c r="A66" s="98" t="s">
        <v>2</v>
      </c>
      <c r="B66" s="97">
        <v>30.3</v>
      </c>
      <c r="C66" s="97">
        <v>104.69999999999997</v>
      </c>
      <c r="D66" s="72"/>
      <c r="E66" s="72"/>
      <c r="F66" s="72"/>
      <c r="G66" s="72"/>
      <c r="H66" s="72">
        <v>0.4</v>
      </c>
      <c r="I66" s="72"/>
      <c r="J66" s="72">
        <v>17.9</v>
      </c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18.299999999999997</v>
      </c>
      <c r="AH66" s="72">
        <f t="shared" si="14"/>
        <v>116.69999999999997</v>
      </c>
      <c r="AJ66" s="21"/>
    </row>
    <row r="67" spans="1:36" s="18" customFormat="1" ht="15.75">
      <c r="A67" s="98" t="s">
        <v>16</v>
      </c>
      <c r="B67" s="97">
        <v>308</v>
      </c>
      <c r="C67" s="97">
        <v>567.7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630.7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738.5999999999998</v>
      </c>
      <c r="C68" s="97">
        <v>2981.1000000000013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4</v>
      </c>
      <c r="H68" s="72">
        <f>H62-H63-H66-H67-H65-H64</f>
        <v>90.69999999999999</v>
      </c>
      <c r="I68" s="72">
        <f t="shared" si="15"/>
        <v>0</v>
      </c>
      <c r="J68" s="72">
        <f t="shared" si="15"/>
        <v>24.9</v>
      </c>
      <c r="K68" s="72">
        <f t="shared" si="15"/>
        <v>0</v>
      </c>
      <c r="L68" s="72">
        <f t="shared" si="15"/>
        <v>199.29999999999995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9.1</v>
      </c>
      <c r="Q68" s="72">
        <f t="shared" si="15"/>
        <v>0</v>
      </c>
      <c r="R68" s="72">
        <f t="shared" si="15"/>
        <v>38.60000000000001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366.6</v>
      </c>
      <c r="AH68" s="72">
        <f>AH62-AH63-AH66-AH67-AH65-AH64</f>
        <v>3353.0999999999995</v>
      </c>
      <c r="AJ68" s="21"/>
    </row>
    <row r="69" spans="1:36" s="18" customFormat="1" ht="31.5">
      <c r="A69" s="96" t="s">
        <v>45</v>
      </c>
      <c r="B69" s="97">
        <v>2253.9</v>
      </c>
      <c r="C69" s="97">
        <v>43.700000000000045</v>
      </c>
      <c r="D69" s="72"/>
      <c r="E69" s="72"/>
      <c r="F69" s="72">
        <v>941.7</v>
      </c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>
        <v>788.3</v>
      </c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1730</v>
      </c>
      <c r="AH69" s="89">
        <f aca="true" t="shared" si="16" ref="AH69:AH92">B69+C69-AG69</f>
        <v>567.6000000000004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v>1001.1</v>
      </c>
      <c r="C71" s="109">
        <v>457.4000000000001</v>
      </c>
      <c r="D71" s="80"/>
      <c r="E71" s="80"/>
      <c r="F71" s="80"/>
      <c r="G71" s="80"/>
      <c r="H71" s="80"/>
      <c r="I71" s="80"/>
      <c r="J71" s="80"/>
      <c r="K71" s="80"/>
      <c r="L71" s="80">
        <v>719.5</v>
      </c>
      <c r="M71" s="80"/>
      <c r="N71" s="80">
        <v>23.4</v>
      </c>
      <c r="O71" s="80">
        <v>379.6</v>
      </c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1122.5</v>
      </c>
      <c r="AH71" s="89">
        <f t="shared" si="16"/>
        <v>336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40+40+49.5+25+28+494.3+39.7+41+96+43+328.2+25+4+775.1+30-154.3-700-21</f>
        <v>1183.5000000000002</v>
      </c>
      <c r="C72" s="97">
        <v>3018.8</v>
      </c>
      <c r="D72" s="72"/>
      <c r="E72" s="72">
        <v>46.7</v>
      </c>
      <c r="F72" s="72">
        <f>11.1+109.9+12.5</f>
        <v>133.5</v>
      </c>
      <c r="G72" s="72"/>
      <c r="H72" s="72">
        <v>65.9</v>
      </c>
      <c r="I72" s="72"/>
      <c r="J72" s="72">
        <v>26.2</v>
      </c>
      <c r="K72" s="72">
        <v>1.7</v>
      </c>
      <c r="L72" s="72"/>
      <c r="M72" s="72"/>
      <c r="N72" s="72"/>
      <c r="O72" s="72">
        <v>0.3</v>
      </c>
      <c r="P72" s="72"/>
      <c r="Q72" s="72">
        <f>406.8-31.6</f>
        <v>375.2</v>
      </c>
      <c r="R72" s="72">
        <f>3.2+31.7</f>
        <v>34.9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684.4</v>
      </c>
      <c r="AH72" s="89">
        <f t="shared" si="16"/>
        <v>3517.9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88+31-0.1</f>
        <v>118.9</v>
      </c>
      <c r="C74" s="97">
        <v>597.5</v>
      </c>
      <c r="D74" s="72"/>
      <c r="E74" s="72"/>
      <c r="F74" s="72">
        <v>11.1</v>
      </c>
      <c r="G74" s="72"/>
      <c r="H74" s="72">
        <f>60+4.8</f>
        <v>64.8</v>
      </c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75.89999999999999</v>
      </c>
      <c r="AH74" s="89">
        <f t="shared" si="16"/>
        <v>640.5</v>
      </c>
      <c r="AJ74" s="21"/>
    </row>
    <row r="75" spans="1:36" s="18" customFormat="1" ht="15" customHeight="1">
      <c r="A75" s="98" t="s">
        <v>16</v>
      </c>
      <c r="B75" s="97">
        <f>15+14.2</f>
        <v>29.2</v>
      </c>
      <c r="C75" s="97">
        <v>121.6</v>
      </c>
      <c r="D75" s="72"/>
      <c r="E75" s="72"/>
      <c r="F75" s="72"/>
      <c r="G75" s="72"/>
      <c r="H75" s="72"/>
      <c r="I75" s="72"/>
      <c r="J75" s="72"/>
      <c r="K75" s="72">
        <v>1.4</v>
      </c>
      <c r="L75" s="72"/>
      <c r="M75" s="72"/>
      <c r="N75" s="72"/>
      <c r="O75" s="72"/>
      <c r="P75" s="72"/>
      <c r="Q75" s="72">
        <v>1.8</v>
      </c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3.2</v>
      </c>
      <c r="AH75" s="89">
        <f t="shared" si="16"/>
        <v>147.6</v>
      </c>
      <c r="AJ75" s="21"/>
    </row>
    <row r="76" spans="1:36" s="112" customFormat="1" ht="15.75">
      <c r="A76" s="111" t="s">
        <v>48</v>
      </c>
      <c r="B76" s="97">
        <f>743.8+242.3-600</f>
        <v>386.0999999999999</v>
      </c>
      <c r="C76" s="97">
        <v>43.799999999999955</v>
      </c>
      <c r="D76" s="72"/>
      <c r="E76" s="80"/>
      <c r="F76" s="80">
        <v>21.4</v>
      </c>
      <c r="G76" s="80"/>
      <c r="H76" s="80"/>
      <c r="I76" s="80"/>
      <c r="J76" s="80"/>
      <c r="K76" s="80">
        <v>117.4</v>
      </c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138.8</v>
      </c>
      <c r="AH76" s="89">
        <f t="shared" si="16"/>
        <v>291.09999999999985</v>
      </c>
      <c r="AJ76" s="21"/>
    </row>
    <row r="77" spans="1:36" s="112" customFormat="1" ht="15.75">
      <c r="A77" s="98" t="s">
        <v>5</v>
      </c>
      <c r="B77" s="97">
        <v>199.6</v>
      </c>
      <c r="C77" s="97">
        <v>16.899999999999977</v>
      </c>
      <c r="D77" s="72"/>
      <c r="E77" s="80"/>
      <c r="F77" s="80">
        <v>20.9</v>
      </c>
      <c r="G77" s="80"/>
      <c r="H77" s="80"/>
      <c r="I77" s="80"/>
      <c r="J77" s="80"/>
      <c r="K77" s="80">
        <v>115.1</v>
      </c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136</v>
      </c>
      <c r="AH77" s="89">
        <f t="shared" si="16"/>
        <v>80.49999999999997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2.0000000000000013</v>
      </c>
      <c r="D80" s="72"/>
      <c r="E80" s="80"/>
      <c r="F80" s="80">
        <v>0.5</v>
      </c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0.5</v>
      </c>
      <c r="AH80" s="89">
        <f t="shared" si="16"/>
        <v>2.1000000000000014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398</v>
      </c>
      <c r="C88" s="97">
        <v>0</v>
      </c>
      <c r="D88" s="72"/>
      <c r="E88" s="72"/>
      <c r="F88" s="72">
        <v>398</v>
      </c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398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13601.2+4158.2+817.2</f>
        <v>18576.600000000002</v>
      </c>
      <c r="C89" s="97">
        <v>828.5</v>
      </c>
      <c r="D89" s="72"/>
      <c r="E89" s="72"/>
      <c r="F89" s="72">
        <v>1551.1</v>
      </c>
      <c r="G89" s="72">
        <v>4423</v>
      </c>
      <c r="H89" s="72">
        <v>1571.7</v>
      </c>
      <c r="I89" s="72"/>
      <c r="J89" s="72"/>
      <c r="K89" s="72"/>
      <c r="L89" s="72">
        <v>1230.2</v>
      </c>
      <c r="M89" s="72"/>
      <c r="N89" s="72"/>
      <c r="O89" s="72"/>
      <c r="P89" s="72">
        <v>4995.4</v>
      </c>
      <c r="Q89" s="72">
        <v>3243.3</v>
      </c>
      <c r="R89" s="72">
        <v>12.3</v>
      </c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17027</v>
      </c>
      <c r="AH89" s="72">
        <f t="shared" si="16"/>
        <v>2378.100000000002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/>
      <c r="K90" s="72">
        <v>1886.8</v>
      </c>
      <c r="L90" s="72"/>
      <c r="M90" s="72"/>
      <c r="N90" s="72"/>
      <c r="O90" s="72"/>
      <c r="P90" s="72"/>
      <c r="Q90" s="72"/>
      <c r="R90" s="72">
        <v>1886.8</v>
      </c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3773.6</v>
      </c>
      <c r="AH90" s="72">
        <f t="shared" si="16"/>
        <v>1886.7999999999997</v>
      </c>
      <c r="AI90" s="112"/>
      <c r="AJ90" s="21"/>
    </row>
    <row r="91" spans="1:36" s="18" customFormat="1" ht="15.75">
      <c r="A91" s="96" t="s">
        <v>25</v>
      </c>
      <c r="B91" s="97">
        <v>15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80</v>
      </c>
      <c r="AI91" s="112"/>
      <c r="AJ91" s="21"/>
    </row>
    <row r="92" spans="1:35" s="18" customFormat="1" ht="15.75">
      <c r="A92" s="96" t="s">
        <v>37</v>
      </c>
      <c r="B92" s="97">
        <f>33109.6+400+164.1-3215.3+0.1-117.2</f>
        <v>30341.299999999996</v>
      </c>
      <c r="C92" s="97">
        <v>0</v>
      </c>
      <c r="D92" s="72">
        <v>18523</v>
      </c>
      <c r="E92" s="72">
        <v>1876.7</v>
      </c>
      <c r="F92" s="72">
        <v>-4752.8</v>
      </c>
      <c r="G92" s="72">
        <v>-1622.1</v>
      </c>
      <c r="H92" s="72">
        <v>226.9</v>
      </c>
      <c r="I92" s="72">
        <v>16206.8</v>
      </c>
      <c r="J92" s="72"/>
      <c r="K92" s="72"/>
      <c r="L92" s="72"/>
      <c r="M92" s="72">
        <v>-8028.9</v>
      </c>
      <c r="N92" s="72">
        <v>5174.6</v>
      </c>
      <c r="O92" s="72">
        <v>2737.1</v>
      </c>
      <c r="P92" s="72"/>
      <c r="Q92" s="72"/>
      <c r="R92" s="72">
        <v>-2082.9</v>
      </c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28258.399999999994</v>
      </c>
      <c r="AH92" s="72">
        <f t="shared" si="16"/>
        <v>2082.9000000000015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189487</v>
      </c>
      <c r="C94" s="136">
        <f t="shared" si="17"/>
        <v>67226.46300000006</v>
      </c>
      <c r="D94" s="91">
        <f t="shared" si="17"/>
        <v>18523</v>
      </c>
      <c r="E94" s="91">
        <f t="shared" si="17"/>
        <v>7287.4</v>
      </c>
      <c r="F94" s="91">
        <f t="shared" si="17"/>
        <v>5701.399999999999</v>
      </c>
      <c r="G94" s="91">
        <f t="shared" si="17"/>
        <v>3391.4</v>
      </c>
      <c r="H94" s="91">
        <f>H10+H15+H24+H33+H47+H52+H54+H61+H62+H69+H71+H72+H76+H81+H82+H83+H88+H89+H90+H91+H40+H92+H70</f>
        <v>7572.599999999999</v>
      </c>
      <c r="I94" s="91">
        <f t="shared" si="17"/>
        <v>17610.3</v>
      </c>
      <c r="J94" s="91">
        <f t="shared" si="17"/>
        <v>1040.1999999999998</v>
      </c>
      <c r="K94" s="91">
        <f t="shared" si="17"/>
        <v>3916.2</v>
      </c>
      <c r="L94" s="91">
        <f t="shared" si="17"/>
        <v>20420.800000000003</v>
      </c>
      <c r="M94" s="91">
        <f t="shared" si="17"/>
        <v>6946.700000000001</v>
      </c>
      <c r="N94" s="91">
        <f t="shared" si="17"/>
        <v>6324.8</v>
      </c>
      <c r="O94" s="91">
        <f t="shared" si="17"/>
        <v>3510.2999999999997</v>
      </c>
      <c r="P94" s="91">
        <f t="shared" si="17"/>
        <v>6793.5</v>
      </c>
      <c r="Q94" s="91">
        <f t="shared" si="17"/>
        <v>4960</v>
      </c>
      <c r="R94" s="91">
        <f t="shared" si="17"/>
        <v>6227.5</v>
      </c>
      <c r="S94" s="91">
        <f t="shared" si="17"/>
        <v>0</v>
      </c>
      <c r="T94" s="91">
        <f t="shared" si="17"/>
        <v>0</v>
      </c>
      <c r="U94" s="91">
        <f t="shared" si="17"/>
        <v>0</v>
      </c>
      <c r="V94" s="91">
        <f t="shared" si="17"/>
        <v>0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120226.09999999999</v>
      </c>
      <c r="AH94" s="91">
        <f>AH10+AH15+AH24+AH33+AH47+AH52+AH54+AH61+AH62+AH69+AH71+AH72+AH76+AH81+AH82+AH83+AH88+AH89+AH90+AH91+AH70+AH40+AH92</f>
        <v>136487.36300000004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59569.49999999999</v>
      </c>
      <c r="C95" s="97">
        <f t="shared" si="18"/>
        <v>17228.559999999987</v>
      </c>
      <c r="D95" s="72">
        <f t="shared" si="18"/>
        <v>0</v>
      </c>
      <c r="E95" s="72">
        <f t="shared" si="18"/>
        <v>4609.6</v>
      </c>
      <c r="F95" s="72">
        <f t="shared" si="18"/>
        <v>2442.9000000000005</v>
      </c>
      <c r="G95" s="72">
        <f t="shared" si="18"/>
        <v>247.2</v>
      </c>
      <c r="H95" s="72">
        <f>H11+H17+H26+H34+H55+H63+H73+H41+H77+H48</f>
        <v>130.6</v>
      </c>
      <c r="I95" s="72">
        <f t="shared" si="18"/>
        <v>120.7</v>
      </c>
      <c r="J95" s="72">
        <f t="shared" si="18"/>
        <v>0</v>
      </c>
      <c r="K95" s="72">
        <f t="shared" si="18"/>
        <v>1903.6999999999998</v>
      </c>
      <c r="L95" s="72">
        <f t="shared" si="18"/>
        <v>8041.700000000001</v>
      </c>
      <c r="M95" s="72">
        <f t="shared" si="18"/>
        <v>9620.2</v>
      </c>
      <c r="N95" s="72">
        <f t="shared" si="18"/>
        <v>71.9</v>
      </c>
      <c r="O95" s="72">
        <f t="shared" si="18"/>
        <v>0</v>
      </c>
      <c r="P95" s="72">
        <f t="shared" si="18"/>
        <v>0</v>
      </c>
      <c r="Q95" s="72">
        <f t="shared" si="18"/>
        <v>52.3</v>
      </c>
      <c r="R95" s="72">
        <f t="shared" si="18"/>
        <v>0</v>
      </c>
      <c r="S95" s="72">
        <f t="shared" si="18"/>
        <v>0</v>
      </c>
      <c r="T95" s="72">
        <f t="shared" si="18"/>
        <v>0</v>
      </c>
      <c r="U95" s="72">
        <f t="shared" si="18"/>
        <v>0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27240.800000000003</v>
      </c>
      <c r="AH95" s="72">
        <f>B95+C95-AG95</f>
        <v>49557.25999999998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3273.7</v>
      </c>
      <c r="C96" s="97">
        <f t="shared" si="19"/>
        <v>8923.899999999998</v>
      </c>
      <c r="D96" s="72">
        <f t="shared" si="19"/>
        <v>0</v>
      </c>
      <c r="E96" s="72">
        <f t="shared" si="19"/>
        <v>83.7</v>
      </c>
      <c r="F96" s="72">
        <f t="shared" si="19"/>
        <v>878.6</v>
      </c>
      <c r="G96" s="72">
        <f t="shared" si="19"/>
        <v>99.39999999999999</v>
      </c>
      <c r="H96" s="72">
        <f>H12+H20+H29+H36+H57+H66+H44+H80+H74+H53</f>
        <v>220.5</v>
      </c>
      <c r="I96" s="72">
        <f t="shared" si="19"/>
        <v>573</v>
      </c>
      <c r="J96" s="72">
        <f t="shared" si="19"/>
        <v>422.09999999999997</v>
      </c>
      <c r="K96" s="72">
        <f t="shared" si="19"/>
        <v>1.9</v>
      </c>
      <c r="L96" s="72">
        <f t="shared" si="19"/>
        <v>9.9</v>
      </c>
      <c r="M96" s="72">
        <f t="shared" si="19"/>
        <v>91.4</v>
      </c>
      <c r="N96" s="72">
        <f t="shared" si="19"/>
        <v>19.6</v>
      </c>
      <c r="O96" s="72">
        <f t="shared" si="19"/>
        <v>8.4</v>
      </c>
      <c r="P96" s="72">
        <f t="shared" si="19"/>
        <v>0</v>
      </c>
      <c r="Q96" s="72">
        <f t="shared" si="19"/>
        <v>7</v>
      </c>
      <c r="R96" s="72">
        <f t="shared" si="19"/>
        <v>33.5</v>
      </c>
      <c r="S96" s="72">
        <f t="shared" si="19"/>
        <v>0</v>
      </c>
      <c r="T96" s="72">
        <f t="shared" si="19"/>
        <v>0</v>
      </c>
      <c r="U96" s="72">
        <f t="shared" si="19"/>
        <v>0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2449.0000000000005</v>
      </c>
      <c r="AH96" s="72">
        <f>B96+C96-AG96</f>
        <v>9748.599999999999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15.500000000000002</v>
      </c>
      <c r="D97" s="72">
        <f t="shared" si="20"/>
        <v>0</v>
      </c>
      <c r="E97" s="72">
        <f t="shared" si="20"/>
        <v>0</v>
      </c>
      <c r="F97" s="72">
        <f t="shared" si="20"/>
        <v>0.9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0.5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1.4</v>
      </c>
      <c r="AH97" s="72">
        <f>B97+C97-AG97</f>
        <v>14.100000000000001</v>
      </c>
    </row>
    <row r="98" spans="1:34" s="18" customFormat="1" ht="15.75">
      <c r="A98" s="98" t="s">
        <v>1</v>
      </c>
      <c r="B98" s="97">
        <f aca="true" t="shared" si="21" ref="B98:AE98">B19+B28+B65+B35+B43+B56+B79</f>
        <v>987.1999999999999</v>
      </c>
      <c r="C98" s="97">
        <f t="shared" si="21"/>
        <v>2604.999999999998</v>
      </c>
      <c r="D98" s="72">
        <f t="shared" si="21"/>
        <v>0</v>
      </c>
      <c r="E98" s="72">
        <f t="shared" si="21"/>
        <v>0</v>
      </c>
      <c r="F98" s="72">
        <f t="shared" si="21"/>
        <v>0.2</v>
      </c>
      <c r="G98" s="72">
        <f t="shared" si="21"/>
        <v>0</v>
      </c>
      <c r="H98" s="72">
        <f>H19+H28+H65+H35+H43+H56+H79</f>
        <v>107.19999999999999</v>
      </c>
      <c r="I98" s="72">
        <f t="shared" si="21"/>
        <v>0</v>
      </c>
      <c r="J98" s="72">
        <f t="shared" si="21"/>
        <v>0</v>
      </c>
      <c r="K98" s="72">
        <f t="shared" si="21"/>
        <v>0</v>
      </c>
      <c r="L98" s="72">
        <f t="shared" si="21"/>
        <v>8.1</v>
      </c>
      <c r="M98" s="72">
        <f t="shared" si="21"/>
        <v>10</v>
      </c>
      <c r="N98" s="72">
        <f t="shared" si="21"/>
        <v>147.3</v>
      </c>
      <c r="O98" s="72">
        <f t="shared" si="21"/>
        <v>70.5</v>
      </c>
      <c r="P98" s="72">
        <f t="shared" si="21"/>
        <v>0</v>
      </c>
      <c r="Q98" s="72">
        <f t="shared" si="21"/>
        <v>0</v>
      </c>
      <c r="R98" s="72">
        <f t="shared" si="21"/>
        <v>115.8</v>
      </c>
      <c r="S98" s="72">
        <f t="shared" si="21"/>
        <v>0</v>
      </c>
      <c r="T98" s="72">
        <f t="shared" si="21"/>
        <v>0</v>
      </c>
      <c r="U98" s="72">
        <f t="shared" si="21"/>
        <v>0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459.1</v>
      </c>
      <c r="AH98" s="72">
        <f>B98+C98-AG98</f>
        <v>3133.099999999998</v>
      </c>
    </row>
    <row r="99" spans="1:34" s="18" customFormat="1" ht="15.75">
      <c r="A99" s="98" t="s">
        <v>16</v>
      </c>
      <c r="B99" s="97">
        <f>B21+B30+B49+B37+B58+B13+B75+B67</f>
        <v>8255.4</v>
      </c>
      <c r="C99" s="97">
        <f aca="true" t="shared" si="22" ref="C99:Y99">C21+C30+C49+C37+C58+C13+C75+C67</f>
        <v>4246.900000000003</v>
      </c>
      <c r="D99" s="72">
        <f t="shared" si="22"/>
        <v>0</v>
      </c>
      <c r="E99" s="72">
        <f t="shared" si="22"/>
        <v>0</v>
      </c>
      <c r="F99" s="72">
        <f t="shared" si="22"/>
        <v>1559.4</v>
      </c>
      <c r="G99" s="72">
        <f t="shared" si="22"/>
        <v>0</v>
      </c>
      <c r="H99" s="72">
        <f>H21+H30+H49+H37+H58+H13+H75+H67</f>
        <v>659.2</v>
      </c>
      <c r="I99" s="72">
        <f t="shared" si="22"/>
        <v>272</v>
      </c>
      <c r="J99" s="72">
        <f t="shared" si="22"/>
        <v>453.4</v>
      </c>
      <c r="K99" s="72">
        <f t="shared" si="22"/>
        <v>2.8</v>
      </c>
      <c r="L99" s="72">
        <f t="shared" si="22"/>
        <v>877.4</v>
      </c>
      <c r="M99" s="72">
        <f t="shared" si="22"/>
        <v>151</v>
      </c>
      <c r="N99" s="72">
        <f t="shared" si="22"/>
        <v>20.4</v>
      </c>
      <c r="O99" s="72">
        <f t="shared" si="22"/>
        <v>193</v>
      </c>
      <c r="P99" s="72">
        <f t="shared" si="22"/>
        <v>1642.8</v>
      </c>
      <c r="Q99" s="72">
        <f t="shared" si="22"/>
        <v>30.5</v>
      </c>
      <c r="R99" s="72">
        <f t="shared" si="22"/>
        <v>314.7</v>
      </c>
      <c r="S99" s="72">
        <f t="shared" si="22"/>
        <v>0</v>
      </c>
      <c r="T99" s="72">
        <f t="shared" si="22"/>
        <v>0</v>
      </c>
      <c r="U99" s="72">
        <f t="shared" si="22"/>
        <v>0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6176.6</v>
      </c>
      <c r="AH99" s="72">
        <f>B99+C99-AG99</f>
        <v>6325.700000000003</v>
      </c>
    </row>
    <row r="100" spans="1:34" ht="12.75">
      <c r="A100" s="137" t="s">
        <v>35</v>
      </c>
      <c r="B100" s="20">
        <f>B94-B95-B96-B97-B98-B99</f>
        <v>117401.20000000001</v>
      </c>
      <c r="C100" s="20">
        <f aca="true" t="shared" si="24" ref="C100:AE100">C94-C95-C96-C97-C98-C99</f>
        <v>34206.60300000008</v>
      </c>
      <c r="D100" s="92">
        <f t="shared" si="24"/>
        <v>18523</v>
      </c>
      <c r="E100" s="92">
        <f t="shared" si="24"/>
        <v>2594.0999999999995</v>
      </c>
      <c r="F100" s="92">
        <f t="shared" si="24"/>
        <v>819.3999999999983</v>
      </c>
      <c r="G100" s="92">
        <f t="shared" si="24"/>
        <v>3044.8</v>
      </c>
      <c r="H100" s="92">
        <f>H94-H95-H96-H97-H98-H99</f>
        <v>6455.099999999999</v>
      </c>
      <c r="I100" s="92">
        <f t="shared" si="24"/>
        <v>16644.6</v>
      </c>
      <c r="J100" s="92">
        <f t="shared" si="24"/>
        <v>164.19999999999993</v>
      </c>
      <c r="K100" s="92">
        <f t="shared" si="24"/>
        <v>2007.8</v>
      </c>
      <c r="L100" s="92">
        <f t="shared" si="24"/>
        <v>11483.700000000003</v>
      </c>
      <c r="M100" s="92">
        <f t="shared" si="24"/>
        <v>-2925.9</v>
      </c>
      <c r="N100" s="92">
        <f t="shared" si="24"/>
        <v>6065.6</v>
      </c>
      <c r="O100" s="92">
        <f t="shared" si="24"/>
        <v>3238.3999999999996</v>
      </c>
      <c r="P100" s="92">
        <f t="shared" si="24"/>
        <v>5150.7</v>
      </c>
      <c r="Q100" s="92">
        <f t="shared" si="24"/>
        <v>4870.2</v>
      </c>
      <c r="R100" s="92">
        <f t="shared" si="24"/>
        <v>5763.5</v>
      </c>
      <c r="S100" s="92">
        <f t="shared" si="24"/>
        <v>0</v>
      </c>
      <c r="T100" s="92">
        <f t="shared" si="24"/>
        <v>0</v>
      </c>
      <c r="U100" s="92">
        <f t="shared" si="24"/>
        <v>0</v>
      </c>
      <c r="V100" s="92">
        <f t="shared" si="24"/>
        <v>0</v>
      </c>
      <c r="W100" s="92">
        <f t="shared" si="24"/>
        <v>0</v>
      </c>
      <c r="X100" s="92">
        <f t="shared" si="24"/>
        <v>0</v>
      </c>
      <c r="Y100" s="92">
        <f t="shared" si="24"/>
        <v>0</v>
      </c>
      <c r="Z100" s="92">
        <f t="shared" si="24"/>
        <v>0</v>
      </c>
      <c r="AA100" s="92">
        <f t="shared" si="24"/>
        <v>0</v>
      </c>
      <c r="AB100" s="92">
        <f t="shared" si="24"/>
        <v>0</v>
      </c>
      <c r="AC100" s="92">
        <f t="shared" si="24"/>
        <v>0</v>
      </c>
      <c r="AD100" s="92">
        <f t="shared" si="24"/>
        <v>0</v>
      </c>
      <c r="AE100" s="92">
        <f t="shared" si="24"/>
        <v>0</v>
      </c>
      <c r="AF100" s="92"/>
      <c r="AG100" s="92">
        <f>AG94-AG95-AG96-AG97-AG98-AG99</f>
        <v>83899.19999999998</v>
      </c>
      <c r="AH100" s="92">
        <f>AH94-AH95-AH96-AH97-AH98-AH99</f>
        <v>67708.60300000006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8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2019-07-19T09:39:06Z</cp:lastPrinted>
  <dcterms:created xsi:type="dcterms:W3CDTF">2002-11-05T08:53:00Z</dcterms:created>
  <dcterms:modified xsi:type="dcterms:W3CDTF">2019-07-19T09:43:51Z</dcterms:modified>
  <cp:category/>
  <cp:version/>
  <cp:contentType/>
  <cp:contentStatus/>
</cp:coreProperties>
</file>